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Temp\"/>
    </mc:Choice>
  </mc:AlternateContent>
  <bookViews>
    <workbookView xWindow="22080" yWindow="0" windowWidth="9600" windowHeight="12528" tabRatio="843" activeTab="1"/>
  </bookViews>
  <sheets>
    <sheet name="Instructions" sheetId="27" r:id="rId1"/>
    <sheet name="Bandwidth Calculator" sheetId="31" r:id="rId2"/>
    <sheet name=" Finesse Desktop BW" sheetId="17" r:id="rId3"/>
    <sheet name="Finesse BW Data" sheetId="5" r:id="rId4"/>
    <sheet name="Finesse LD Report BW Data" sheetId="26" r:id="rId5"/>
    <sheet name="Email BW Data" sheetId="34" r:id="rId6"/>
    <sheet name="Chat BW Data" sheetId="19" r:id="rId7"/>
    <sheet name="EDBS BW Data" sheetId="22" r:id="rId8"/>
    <sheet name="REST APIs BW Data" sheetId="23" r:id="rId9"/>
    <sheet name="CUIC Reporting BW Data" sheetId="20" r:id="rId10"/>
    <sheet name="Fippa BW Data" sheetId="28" r:id="rId11"/>
  </sheets>
  <externalReferences>
    <externalReference r:id="rId12"/>
  </externalReferences>
  <definedNames>
    <definedName name="Agent_Call_Wrap_Up_Time" localSheetId="2">' Finesse Desktop BW'!$B$15</definedName>
    <definedName name="Agent_Call_Wrap_Up_Time" localSheetId="1">'Bandwidth Calculator'!$B$17</definedName>
    <definedName name="Agent_Call_Wrap_Up_Time_v70" localSheetId="2">#REF!</definedName>
    <definedName name="Agent_Call_Wrap_Up_Time_v70" localSheetId="1">#REF!</definedName>
    <definedName name="Agent_Call_Wrap_Up_Time_v70" localSheetId="5">#REF!</definedName>
    <definedName name="Agent_Call_Wrap_Up_Time_v70" localSheetId="4">#REF!</definedName>
    <definedName name="Agent_Call_Wrap_Up_Time_v70" localSheetId="0">#REF!</definedName>
    <definedName name="Agent_Call_Wrap_Up_Time_v70" localSheetId="8">#REF!</definedName>
    <definedName name="Agent_Call_Wrap_Up_Time_v70">#REF!</definedName>
    <definedName name="Agent_Call_Wrap_Up_Time_v711" localSheetId="2">#REF!</definedName>
    <definedName name="Agent_Call_Wrap_Up_Time_v711" localSheetId="1">#REF!</definedName>
    <definedName name="Agent_Call_Wrap_Up_Time_v711" localSheetId="5">#REF!</definedName>
    <definedName name="Agent_Call_Wrap_Up_Time_v711" localSheetId="4">#REF!</definedName>
    <definedName name="Agent_Call_Wrap_Up_Time_v711" localSheetId="0">#REF!</definedName>
    <definedName name="Agent_Call_Wrap_Up_Time_v711" localSheetId="8">#REF!</definedName>
    <definedName name="Agent_Call_Wrap_Up_Time_v711">#REF!</definedName>
    <definedName name="Agent_Call_Wrap_Up_Time_v721" localSheetId="2">#REF!</definedName>
    <definedName name="Agent_Call_Wrap_Up_Time_v721" localSheetId="1">#REF!</definedName>
    <definedName name="Agent_Call_Wrap_Up_Time_v721" localSheetId="5">#REF!</definedName>
    <definedName name="Agent_Call_Wrap_Up_Time_v721" localSheetId="4">#REF!</definedName>
    <definedName name="Agent_Call_Wrap_Up_Time_v721" localSheetId="0">#REF!</definedName>
    <definedName name="Agent_Call_Wrap_Up_Time_v721" localSheetId="8">#REF!</definedName>
    <definedName name="Agent_Call_Wrap_Up_Time_v721">#REF!</definedName>
    <definedName name="Agent_Call_Wrap_Up_Time_v751" localSheetId="2">#REF!</definedName>
    <definedName name="Agent_Call_Wrap_Up_Time_v751" localSheetId="1">#REF!</definedName>
    <definedName name="Agent_Call_Wrap_Up_Time_v751" localSheetId="5">#REF!</definedName>
    <definedName name="Agent_Call_Wrap_Up_Time_v751" localSheetId="4">#REF!</definedName>
    <definedName name="Agent_Call_Wrap_Up_Time_v751" localSheetId="0">#REF!</definedName>
    <definedName name="Agent_Call_Wrap_Up_Time_v751" localSheetId="8">#REF!</definedName>
    <definedName name="Agent_Call_Wrap_Up_Time_v751">#REF!</definedName>
    <definedName name="Agent_Call_Wrap_Up_Time_v901" localSheetId="2">' Finesse Desktop BW'!$B$15</definedName>
    <definedName name="Agent_Call_Wrap_Up_Time_v901" localSheetId="1">'Bandwidth Calculator'!$B$17</definedName>
    <definedName name="Agent_Call_Wrap_Up_Time_v901" localSheetId="5">#REF!</definedName>
    <definedName name="Agent_Call_Wrap_Up_Time_v901" localSheetId="4">#REF!</definedName>
    <definedName name="Agent_Call_Wrap_Up_Time_v901" localSheetId="0">#REF!</definedName>
    <definedName name="Agent_Call_Wrap_Up_Time_v901" localSheetId="8">#REF!</definedName>
    <definedName name="Agent_Call_Wrap_Up_Time_v901">#REF!</definedName>
    <definedName name="Agent_Statistics_Update_Interval_v5x" localSheetId="2">#REF!</definedName>
    <definedName name="Agent_Statistics_Update_Interval_v5x" localSheetId="1">#REF!</definedName>
    <definedName name="Agent_Statistics_Update_Interval_v5x" localSheetId="5">#REF!</definedName>
    <definedName name="Agent_Statistics_Update_Interval_v5x" localSheetId="4">#REF!</definedName>
    <definedName name="Agent_Statistics_Update_Interval_v5x" localSheetId="0">#REF!</definedName>
    <definedName name="Agent_Statistics_Update_Interval_v5x" localSheetId="8">#REF!</definedName>
    <definedName name="Agent_Statistics_Update_Interval_v5x">#REF!</definedName>
    <definedName name="Agent_Statistics_Update_Interval_v60" localSheetId="2">#REF!</definedName>
    <definedName name="Agent_Statistics_Update_Interval_v60" localSheetId="1">#REF!</definedName>
    <definedName name="Agent_Statistics_Update_Interval_v60" localSheetId="5">#REF!</definedName>
    <definedName name="Agent_Statistics_Update_Interval_v60" localSheetId="4">#REF!</definedName>
    <definedName name="Agent_Statistics_Update_Interval_v60" localSheetId="0">#REF!</definedName>
    <definedName name="Agent_Statistics_Update_Interval_v60" localSheetId="8">#REF!</definedName>
    <definedName name="Agent_Statistics_Update_Interval_v60">#REF!</definedName>
    <definedName name="Agent_Statistics_Update_Interval_v70" localSheetId="2">#REF!</definedName>
    <definedName name="Agent_Statistics_Update_Interval_v70" localSheetId="1">#REF!</definedName>
    <definedName name="Agent_Statistics_Update_Interval_v70" localSheetId="5">#REF!</definedName>
    <definedName name="Agent_Statistics_Update_Interval_v70" localSheetId="4">#REF!</definedName>
    <definedName name="Agent_Statistics_Update_Interval_v70" localSheetId="0">#REF!</definedName>
    <definedName name="Agent_Statistics_Update_Interval_v70" localSheetId="8">#REF!</definedName>
    <definedName name="Agent_Statistics_Update_Interval_v70">#REF!</definedName>
    <definedName name="Agent_Statistics_Update_Interval_v711" localSheetId="2">#REF!</definedName>
    <definedName name="Agent_Statistics_Update_Interval_v711" localSheetId="1">#REF!</definedName>
    <definedName name="Agent_Statistics_Update_Interval_v711" localSheetId="5">#REF!</definedName>
    <definedName name="Agent_Statistics_Update_Interval_v711" localSheetId="4">#REF!</definedName>
    <definedName name="Agent_Statistics_Update_Interval_v711" localSheetId="0">#REF!</definedName>
    <definedName name="Agent_Statistics_Update_Interval_v711" localSheetId="8">#REF!</definedName>
    <definedName name="Agent_Statistics_Update_Interval_v711">#REF!</definedName>
    <definedName name="Agent_Statistics_Update_Interval_v721" localSheetId="2">#REF!</definedName>
    <definedName name="Agent_Statistics_Update_Interval_v721" localSheetId="1">#REF!</definedName>
    <definedName name="Agent_Statistics_Update_Interval_v721" localSheetId="5">#REF!</definedName>
    <definedName name="Agent_Statistics_Update_Interval_v721" localSheetId="4">#REF!</definedName>
    <definedName name="Agent_Statistics_Update_Interval_v721" localSheetId="0">#REF!</definedName>
    <definedName name="Agent_Statistics_Update_Interval_v721" localSheetId="8">#REF!</definedName>
    <definedName name="Agent_Statistics_Update_Interval_v721">#REF!</definedName>
    <definedName name="Agent_Statistics_Update_Interval_v751" localSheetId="2">#REF!</definedName>
    <definedName name="Agent_Statistics_Update_Interval_v751" localSheetId="1">#REF!</definedName>
    <definedName name="Agent_Statistics_Update_Interval_v751" localSheetId="5">#REF!</definedName>
    <definedName name="Agent_Statistics_Update_Interval_v751" localSheetId="4">#REF!</definedName>
    <definedName name="Agent_Statistics_Update_Interval_v751" localSheetId="0">#REF!</definedName>
    <definedName name="Agent_Statistics_Update_Interval_v751" localSheetId="8">#REF!</definedName>
    <definedName name="Agent_Statistics_Update_Interval_v751">#REF!</definedName>
    <definedName name="Agent_Statistics_Update_Interval_v801" localSheetId="2">' Finesse Desktop BW'!$B$38</definedName>
    <definedName name="Agent_Statistics_Update_Interval_v801" localSheetId="1">'Bandwidth Calculator'!$B$38</definedName>
    <definedName name="Agent_Statistics_Update_Interval_v801" localSheetId="5">#REF!</definedName>
    <definedName name="Agent_Statistics_Update_Interval_v801" localSheetId="4">#REF!</definedName>
    <definedName name="Agent_Statistics_Update_Interval_v801" localSheetId="0">#REF!</definedName>
    <definedName name="Agent_Statistics_Update_Interval_v801" localSheetId="8">#REF!</definedName>
    <definedName name="Agent_Statistics_Update_Interval_v801">#REF!</definedName>
    <definedName name="Average_Call_Duration" localSheetId="2">' Finesse Desktop BW'!$B$16</definedName>
    <definedName name="Average_Call_Duration" localSheetId="1">'Bandwidth Calculator'!#REF!</definedName>
    <definedName name="Average_Call_Duration_v5x" localSheetId="2">#REF!</definedName>
    <definedName name="Average_Call_Duration_v5x" localSheetId="1">#REF!</definedName>
    <definedName name="Average_Call_Duration_v5x" localSheetId="5">#REF!</definedName>
    <definedName name="Average_Call_Duration_v5x" localSheetId="4">#REF!</definedName>
    <definedName name="Average_Call_Duration_v5x" localSheetId="0">#REF!</definedName>
    <definedName name="Average_Call_Duration_v5x" localSheetId="8">#REF!</definedName>
    <definedName name="Average_Call_Duration_v5x">#REF!</definedName>
    <definedName name="Average_Call_Duration_v60" localSheetId="2">#REF!</definedName>
    <definedName name="Average_Call_Duration_v60" localSheetId="1">#REF!</definedName>
    <definedName name="Average_Call_Duration_v60" localSheetId="5">#REF!</definedName>
    <definedName name="Average_Call_Duration_v60" localSheetId="4">#REF!</definedName>
    <definedName name="Average_Call_Duration_v60" localSheetId="0">#REF!</definedName>
    <definedName name="Average_Call_Duration_v60" localSheetId="8">#REF!</definedName>
    <definedName name="Average_Call_Duration_v60">#REF!</definedName>
    <definedName name="Average_Call_Duration_v70" localSheetId="2">#REF!</definedName>
    <definedName name="Average_Call_Duration_v70" localSheetId="1">#REF!</definedName>
    <definedName name="Average_Call_Duration_v70" localSheetId="5">#REF!</definedName>
    <definedName name="Average_Call_Duration_v70" localSheetId="4">#REF!</definedName>
    <definedName name="Average_Call_Duration_v70" localSheetId="0">#REF!</definedName>
    <definedName name="Average_Call_Duration_v70" localSheetId="8">#REF!</definedName>
    <definedName name="Average_Call_Duration_v70">#REF!</definedName>
    <definedName name="Average_Call_Duration_v711" localSheetId="2">#REF!</definedName>
    <definedName name="Average_Call_Duration_v711" localSheetId="1">#REF!</definedName>
    <definedName name="Average_Call_Duration_v711" localSheetId="5">#REF!</definedName>
    <definedName name="Average_Call_Duration_v711" localSheetId="4">#REF!</definedName>
    <definedName name="Average_Call_Duration_v711" localSheetId="0">#REF!</definedName>
    <definedName name="Average_Call_Duration_v711" localSheetId="8">#REF!</definedName>
    <definedName name="Average_Call_Duration_v711">#REF!</definedName>
    <definedName name="Average_Call_Duration_v721" localSheetId="2">#REF!</definedName>
    <definedName name="Average_Call_Duration_v721" localSheetId="1">#REF!</definedName>
    <definedName name="Average_Call_Duration_v721" localSheetId="5">#REF!</definedName>
    <definedName name="Average_Call_Duration_v721" localSheetId="4">#REF!</definedName>
    <definedName name="Average_Call_Duration_v721" localSheetId="0">#REF!</definedName>
    <definedName name="Average_Call_Duration_v721" localSheetId="8">#REF!</definedName>
    <definedName name="Average_Call_Duration_v721">#REF!</definedName>
    <definedName name="Average_Call_Duration_v751" localSheetId="2">#REF!</definedName>
    <definedName name="Average_Call_Duration_v751" localSheetId="1">#REF!</definedName>
    <definedName name="Average_Call_Duration_v751" localSheetId="5">#REF!</definedName>
    <definedName name="Average_Call_Duration_v751" localSheetId="4">#REF!</definedName>
    <definedName name="Average_Call_Duration_v751" localSheetId="0">#REF!</definedName>
    <definedName name="Average_Call_Duration_v751" localSheetId="8">#REF!</definedName>
    <definedName name="Average_Call_Duration_v751">#REF!</definedName>
    <definedName name="Average_Call_Duration_v901" localSheetId="2">' Finesse Desktop BW'!$B$16</definedName>
    <definedName name="Average_Call_Duration_v901" localSheetId="1">'Bandwidth Calculator'!#REF!</definedName>
    <definedName name="Average_Call_Duration_v901" localSheetId="5">#REF!</definedName>
    <definedName name="Average_Call_Duration_v901" localSheetId="4">#REF!</definedName>
    <definedName name="Average_Call_Duration_v901" localSheetId="0">#REF!</definedName>
    <definedName name="Average_Call_Duration_v901" localSheetId="8">#REF!</definedName>
    <definedName name="Average_Call_Duration_v901">#REF!</definedName>
    <definedName name="Average_number_of_Agent_Skill_Groups_Monitored_by_a_Supervisor_v5x" localSheetId="2">#REF!</definedName>
    <definedName name="Average_number_of_Agent_Skill_Groups_Monitored_by_a_Supervisor_v5x" localSheetId="1">#REF!</definedName>
    <definedName name="Average_number_of_Agent_Skill_Groups_Monitored_by_a_Supervisor_v5x" localSheetId="5">#REF!</definedName>
    <definedName name="Average_number_of_Agent_Skill_Groups_Monitored_by_a_Supervisor_v5x" localSheetId="4">#REF!</definedName>
    <definedName name="Average_number_of_Agent_Skill_Groups_Monitored_by_a_Supervisor_v5x" localSheetId="0">#REF!</definedName>
    <definedName name="Average_number_of_Agent_Skill_Groups_Monitored_by_a_Supervisor_v5x" localSheetId="8">#REF!</definedName>
    <definedName name="Average_number_of_Agent_Skill_Groups_Monitored_by_a_Supervisor_v5x">#REF!</definedName>
    <definedName name="Average_number_of_Agent_Skill_Groups_Monitored_by_a_Supervisor_v60" localSheetId="2">#REF!</definedName>
    <definedName name="Average_number_of_Agent_Skill_Groups_Monitored_by_a_Supervisor_v60" localSheetId="1">#REF!</definedName>
    <definedName name="Average_number_of_Agent_Skill_Groups_Monitored_by_a_Supervisor_v60" localSheetId="5">#REF!</definedName>
    <definedName name="Average_number_of_Agent_Skill_Groups_Monitored_by_a_Supervisor_v60" localSheetId="4">#REF!</definedName>
    <definedName name="Average_number_of_Agent_Skill_Groups_Monitored_by_a_Supervisor_v60" localSheetId="0">#REF!</definedName>
    <definedName name="Average_number_of_Agent_Skill_Groups_Monitored_by_a_Supervisor_v60" localSheetId="8">#REF!</definedName>
    <definedName name="Average_number_of_Agent_Skill_Groups_Monitored_by_a_Supervisor_v60">#REF!</definedName>
    <definedName name="Average_number_of_Agent_Skill_Groups_Monitored_by_a_Supervisor_v70" localSheetId="2">#REF!</definedName>
    <definedName name="Average_number_of_Agent_Skill_Groups_Monitored_by_a_Supervisor_v70" localSheetId="1">#REF!</definedName>
    <definedName name="Average_number_of_Agent_Skill_Groups_Monitored_by_a_Supervisor_v70" localSheetId="5">#REF!</definedName>
    <definedName name="Average_number_of_Agent_Skill_Groups_Monitored_by_a_Supervisor_v70" localSheetId="4">#REF!</definedName>
    <definedName name="Average_number_of_Agent_Skill_Groups_Monitored_by_a_Supervisor_v70" localSheetId="0">#REF!</definedName>
    <definedName name="Average_number_of_Agent_Skill_Groups_Monitored_by_a_Supervisor_v70" localSheetId="8">#REF!</definedName>
    <definedName name="Average_number_of_Agent_Skill_Groups_Monitored_by_a_Supervisor_v70">#REF!</definedName>
    <definedName name="Average_number_of_Agent_Skill_Groups_Monitored_by_a_Supervisor_v711" localSheetId="2">#REF!</definedName>
    <definedName name="Average_number_of_Agent_Skill_Groups_Monitored_by_a_Supervisor_v711" localSheetId="1">#REF!</definedName>
    <definedName name="Average_number_of_Agent_Skill_Groups_Monitored_by_a_Supervisor_v711" localSheetId="5">#REF!</definedName>
    <definedName name="Average_number_of_Agent_Skill_Groups_Monitored_by_a_Supervisor_v711" localSheetId="4">#REF!</definedName>
    <definedName name="Average_number_of_Agent_Skill_Groups_Monitored_by_a_Supervisor_v711" localSheetId="0">#REF!</definedName>
    <definedName name="Average_number_of_Agent_Skill_Groups_Monitored_by_a_Supervisor_v711" localSheetId="8">#REF!</definedName>
    <definedName name="Average_number_of_Agent_Skill_Groups_Monitored_by_a_Supervisor_v711">#REF!</definedName>
    <definedName name="Average_number_of_Agent_Skill_Groups_Monitored_by_a_Supervisor_v721" localSheetId="2">#REF!</definedName>
    <definedName name="Average_number_of_Agent_Skill_Groups_Monitored_by_a_Supervisor_v721" localSheetId="1">#REF!</definedName>
    <definedName name="Average_number_of_Agent_Skill_Groups_Monitored_by_a_Supervisor_v721" localSheetId="5">#REF!</definedName>
    <definedName name="Average_number_of_Agent_Skill_Groups_Monitored_by_a_Supervisor_v721" localSheetId="4">#REF!</definedName>
    <definedName name="Average_number_of_Agent_Skill_Groups_Monitored_by_a_Supervisor_v721" localSheetId="0">#REF!</definedName>
    <definedName name="Average_number_of_Agent_Skill_Groups_Monitored_by_a_Supervisor_v721" localSheetId="8">#REF!</definedName>
    <definedName name="Average_number_of_Agent_Skill_Groups_Monitored_by_a_Supervisor_v721">#REF!</definedName>
    <definedName name="Average_number_of_Agent_Skill_Groups_Monitored_by_a_Supervisor_v751" localSheetId="2">#REF!</definedName>
    <definedName name="Average_number_of_Agent_Skill_Groups_Monitored_by_a_Supervisor_v751" localSheetId="1">#REF!</definedName>
    <definedName name="Average_number_of_Agent_Skill_Groups_Monitored_by_a_Supervisor_v751" localSheetId="5">#REF!</definedName>
    <definedName name="Average_number_of_Agent_Skill_Groups_Monitored_by_a_Supervisor_v751" localSheetId="4">#REF!</definedName>
    <definedName name="Average_number_of_Agent_Skill_Groups_Monitored_by_a_Supervisor_v751" localSheetId="0">#REF!</definedName>
    <definedName name="Average_number_of_Agent_Skill_Groups_Monitored_by_a_Supervisor_v751" localSheetId="8">#REF!</definedName>
    <definedName name="Average_number_of_Agent_Skill_Groups_Monitored_by_a_Supervisor_v751">#REF!</definedName>
    <definedName name="Average_number_of_Agent_Skill_Groups_Monitored_by_a_Supervisor_v901" localSheetId="2">' Finesse Desktop BW'!#REF!</definedName>
    <definedName name="Average_number_of_Agent_Skill_Groups_Monitored_by_a_Supervisor_v901" localSheetId="1">'Bandwidth Calculator'!#REF!</definedName>
    <definedName name="Average_number_of_Agent_Skill_Groups_Monitored_by_a_Supervisor_v901" localSheetId="5">#REF!</definedName>
    <definedName name="Average_number_of_Agent_Skill_Groups_Monitored_by_a_Supervisor_v901" localSheetId="4">#REF!</definedName>
    <definedName name="Average_number_of_Agent_Skill_Groups_Monitored_by_a_Supervisor_v901" localSheetId="0">#REF!</definedName>
    <definedName name="Average_number_of_Agent_Skill_Groups_Monitored_by_a_Supervisor_v901" localSheetId="8">#REF!</definedName>
    <definedName name="Average_number_of_Agent_Skill_Groups_Monitored_by_a_Supervisor_v901">#REF!</definedName>
    <definedName name="Average_number_of_agents_per_Team" localSheetId="2">' Finesse Desktop BW'!$B$31</definedName>
    <definedName name="Average_number_of_agents_per_Team" localSheetId="1">'Bandwidth Calculator'!$B$31</definedName>
    <definedName name="Average_number_of_agents_per_team_v901" localSheetId="2">' Finesse Desktop BW'!$B$31</definedName>
    <definedName name="Average_number_of_agents_per_team_v901" localSheetId="1">'Bandwidth Calculator'!$B$31</definedName>
    <definedName name="Average_number_of_agents_per_team_v901" localSheetId="5">#REF!</definedName>
    <definedName name="Average_number_of_agents_per_team_v901" localSheetId="4">#REF!</definedName>
    <definedName name="Average_number_of_agents_per_team_v901" localSheetId="0">#REF!</definedName>
    <definedName name="Average_number_of_agents_per_team_v901" localSheetId="8">#REF!</definedName>
    <definedName name="Average_number_of_agents_per_team_v901">#REF!</definedName>
    <definedName name="Average_number_of_Skill_Groups_per_Agent_v5x" localSheetId="2">#REF!</definedName>
    <definedName name="Average_number_of_Skill_Groups_per_Agent_v5x" localSheetId="1">#REF!</definedName>
    <definedName name="Average_number_of_Skill_Groups_per_Agent_v5x" localSheetId="5">#REF!</definedName>
    <definedName name="Average_number_of_Skill_Groups_per_Agent_v5x" localSheetId="4">#REF!</definedName>
    <definedName name="Average_number_of_Skill_Groups_per_Agent_v5x" localSheetId="0">#REF!</definedName>
    <definedName name="Average_number_of_Skill_Groups_per_Agent_v5x" localSheetId="8">#REF!</definedName>
    <definedName name="Average_number_of_Skill_Groups_per_Agent_v5x">#REF!</definedName>
    <definedName name="Average_number_of_Skill_Groups_per_Agent_v60" localSheetId="2">#REF!</definedName>
    <definedName name="Average_number_of_Skill_Groups_per_Agent_v60" localSheetId="1">#REF!</definedName>
    <definedName name="Average_number_of_Skill_Groups_per_Agent_v60" localSheetId="5">#REF!</definedName>
    <definedName name="Average_number_of_Skill_Groups_per_Agent_v60" localSheetId="4">#REF!</definedName>
    <definedName name="Average_number_of_Skill_Groups_per_Agent_v60" localSheetId="0">#REF!</definedName>
    <definedName name="Average_number_of_Skill_Groups_per_Agent_v60" localSheetId="8">#REF!</definedName>
    <definedName name="Average_number_of_Skill_Groups_per_Agent_v60">#REF!</definedName>
    <definedName name="Average_number_of_Skill_Groups_per_Agent_v70" localSheetId="2">#REF!</definedName>
    <definedName name="Average_number_of_Skill_Groups_per_Agent_v70" localSheetId="1">#REF!</definedName>
    <definedName name="Average_number_of_Skill_Groups_per_Agent_v70" localSheetId="5">#REF!</definedName>
    <definedName name="Average_number_of_Skill_Groups_per_Agent_v70" localSheetId="4">#REF!</definedName>
    <definedName name="Average_number_of_Skill_Groups_per_Agent_v70" localSheetId="0">#REF!</definedName>
    <definedName name="Average_number_of_Skill_Groups_per_Agent_v70" localSheetId="8">#REF!</definedName>
    <definedName name="Average_number_of_Skill_Groups_per_Agent_v70">#REF!</definedName>
    <definedName name="Average_number_of_Skill_Groups_per_Agent_v711" localSheetId="2">#REF!</definedName>
    <definedName name="Average_number_of_Skill_Groups_per_Agent_v711" localSheetId="1">#REF!</definedName>
    <definedName name="Average_number_of_Skill_Groups_per_Agent_v711" localSheetId="5">#REF!</definedName>
    <definedName name="Average_number_of_Skill_Groups_per_Agent_v711" localSheetId="4">#REF!</definedName>
    <definedName name="Average_number_of_Skill_Groups_per_Agent_v711" localSheetId="0">#REF!</definedName>
    <definedName name="Average_number_of_Skill_Groups_per_Agent_v711" localSheetId="8">#REF!</definedName>
    <definedName name="Average_number_of_Skill_Groups_per_Agent_v711">#REF!</definedName>
    <definedName name="Average_number_of_Skill_Groups_per_Agent_v721" localSheetId="2">#REF!</definedName>
    <definedName name="Average_number_of_Skill_Groups_per_Agent_v721" localSheetId="1">#REF!</definedName>
    <definedName name="Average_number_of_Skill_Groups_per_Agent_v721" localSheetId="5">#REF!</definedName>
    <definedName name="Average_number_of_Skill_Groups_per_Agent_v721" localSheetId="4">#REF!</definedName>
    <definedName name="Average_number_of_Skill_Groups_per_Agent_v721" localSheetId="0">#REF!</definedName>
    <definedName name="Average_number_of_Skill_Groups_per_Agent_v721" localSheetId="8">#REF!</definedName>
    <definedName name="Average_number_of_Skill_Groups_per_Agent_v721">#REF!</definedName>
    <definedName name="Average_number_of_Skill_Groups_per_Agent_v751" localSheetId="2">#REF!</definedName>
    <definedName name="Average_number_of_Skill_Groups_per_Agent_v751" localSheetId="1">#REF!</definedName>
    <definedName name="Average_number_of_Skill_Groups_per_Agent_v751" localSheetId="5">#REF!</definedName>
    <definedName name="Average_number_of_Skill_Groups_per_Agent_v751" localSheetId="4">#REF!</definedName>
    <definedName name="Average_number_of_Skill_Groups_per_Agent_v751" localSheetId="0">#REF!</definedName>
    <definedName name="Average_number_of_Skill_Groups_per_Agent_v751" localSheetId="8">#REF!</definedName>
    <definedName name="Average_number_of_Skill_Groups_per_Agent_v751">#REF!</definedName>
    <definedName name="Average_number_of_Skill_Groups_per_Agent_v901" localSheetId="2">' Finesse Desktop BW'!$B$30</definedName>
    <definedName name="Average_number_of_Skill_Groups_per_Agent_v901" localSheetId="1">'Bandwidth Calculator'!$B$30</definedName>
    <definedName name="Average_number_of_Skill_Groups_per_Agent_v901" localSheetId="5">#REF!</definedName>
    <definedName name="Average_number_of_Skill_Groups_per_Agent_v901" localSheetId="4">#REF!</definedName>
    <definedName name="Average_number_of_Skill_Groups_per_Agent_v901" localSheetId="0">#REF!</definedName>
    <definedName name="Average_number_of_Skill_Groups_per_Agent_v901" localSheetId="8">#REF!</definedName>
    <definedName name="Average_number_of_Skill_Groups_per_Agent_v901">#REF!</definedName>
    <definedName name="Average_number_of_Skill_Groups_per_Supervisor" localSheetId="2">' Finesse Desktop BW'!$B$32</definedName>
    <definedName name="Average_number_of_Skill_Groups_per_Supervisor" localSheetId="1">'Bandwidth Calculator'!$B$32</definedName>
    <definedName name="Avg_Agent_State_Changes_Per_Call_NoWrap" localSheetId="5">'[1]Voice BW Data'!$B$33</definedName>
    <definedName name="Avg_Agent_State_Changes_Per_Call_NoWrap">'Finesse BW Data'!$B$33</definedName>
    <definedName name="Avg_Agent_State_Changes_Per_Call_NoWrap_v91">'Finesse BW Data'!$D$33</definedName>
    <definedName name="Avg_Agent_State_Changes_Per_Call_Wrap" localSheetId="5">'[1]Voice BW Data'!$B$34</definedName>
    <definedName name="Avg_Agent_State_Changes_Per_Call_Wrap">'Finesse BW Data'!$B$34</definedName>
    <definedName name="Avg_Agent_State_Changes_Per_Call_Wrap_v91">'Finesse BW Data'!$D$34</definedName>
    <definedName name="Avg_Number_Dialog_Events_Per_ConfCall" localSheetId="5">'[1]Voice BW Data'!$B$37</definedName>
    <definedName name="Avg_Number_Dialog_Events_Per_ConfCall">'Finesse BW Data'!$B$37</definedName>
    <definedName name="Avg_Number_Dialog_Events_Per_IncomingCall" localSheetId="5">'[1]Voice BW Data'!$B$36</definedName>
    <definedName name="Avg_Number_Dialog_Events_Per_IncomingCall">'Finesse BW Data'!$B$36</definedName>
    <definedName name="Avg_Number_Dialog_Events_Per_OutCall" localSheetId="5">'[1]Voice BW Data'!$B$38</definedName>
    <definedName name="Avg_Number_Dialog_Events_Per_OutCall">'Finesse BW Data'!$B$38</definedName>
    <definedName name="Avg_Number_Dialog_Events_Per_XferCall" localSheetId="5">'[1]Voice BW Data'!$B$39</definedName>
    <definedName name="Avg_Number_Dialog_Events_Per_XferCall">'Finesse BW Data'!$B$39</definedName>
    <definedName name="Bandwidth_Confidence_Factor_v5x" localSheetId="2">'Finesse BW Data'!#REF!</definedName>
    <definedName name="Bandwidth_Confidence_Factor_v5x" localSheetId="1">'Finesse BW Data'!#REF!</definedName>
    <definedName name="Bandwidth_Confidence_Factor_v5x" localSheetId="5">'[1]Voice BW Data'!#REF!</definedName>
    <definedName name="Bandwidth_Confidence_Factor_v5x" localSheetId="4">'Finesse BW Data'!#REF!</definedName>
    <definedName name="Bandwidth_Confidence_Factor_v5x" localSheetId="0">'Finesse BW Data'!#REF!</definedName>
    <definedName name="Bandwidth_Confidence_Factor_v5x" localSheetId="8">'Finesse BW Data'!#REF!</definedName>
    <definedName name="Bandwidth_Confidence_Factor_v5x">'Finesse BW Data'!#REF!</definedName>
    <definedName name="Bandwidth_Confidence_Factor_v60" localSheetId="2">'Finesse BW Data'!#REF!</definedName>
    <definedName name="Bandwidth_Confidence_Factor_v60" localSheetId="1">'Finesse BW Data'!#REF!</definedName>
    <definedName name="Bandwidth_Confidence_Factor_v60" localSheetId="5">'[1]Voice BW Data'!#REF!</definedName>
    <definedName name="Bandwidth_Confidence_Factor_v60" localSheetId="4">'Finesse BW Data'!#REF!</definedName>
    <definedName name="Bandwidth_Confidence_Factor_v60" localSheetId="0">'Finesse BW Data'!#REF!</definedName>
    <definedName name="Bandwidth_Confidence_Factor_v60" localSheetId="8">'Finesse BW Data'!#REF!</definedName>
    <definedName name="Bandwidth_Confidence_Factor_v60">'Finesse BW Data'!#REF!</definedName>
    <definedName name="Bandwidth_Confidence_Factor_v70_Security_On" localSheetId="2">'Finesse BW Data'!#REF!</definedName>
    <definedName name="Bandwidth_Confidence_Factor_v70_Security_On" localSheetId="1">'Finesse BW Data'!#REF!</definedName>
    <definedName name="Bandwidth_Confidence_Factor_v70_Security_On" localSheetId="5">'[1]Voice BW Data'!#REF!</definedName>
    <definedName name="Bandwidth_Confidence_Factor_v70_Security_On" localSheetId="4">'Finesse BW Data'!#REF!</definedName>
    <definedName name="Bandwidth_Confidence_Factor_v70_Security_On" localSheetId="0">'Finesse BW Data'!#REF!</definedName>
    <definedName name="Bandwidth_Confidence_Factor_v70_Security_On" localSheetId="8">'Finesse BW Data'!#REF!</definedName>
    <definedName name="Bandwidth_Confidence_Factor_v70_Security_On">'Finesse BW Data'!#REF!</definedName>
    <definedName name="Bandwidth_Confidence_Factor_v711_Security_Off" localSheetId="2">'Finesse BW Data'!#REF!</definedName>
    <definedName name="Bandwidth_Confidence_Factor_v711_Security_Off" localSheetId="1">'Finesse BW Data'!#REF!</definedName>
    <definedName name="Bandwidth_Confidence_Factor_v711_Security_Off" localSheetId="5">'[1]Voice BW Data'!#REF!</definedName>
    <definedName name="Bandwidth_Confidence_Factor_v711_Security_Off" localSheetId="4">'Finesse BW Data'!#REF!</definedName>
    <definedName name="Bandwidth_Confidence_Factor_v711_Security_Off" localSheetId="0">'Finesse BW Data'!#REF!</definedName>
    <definedName name="Bandwidth_Confidence_Factor_v711_Security_Off" localSheetId="8">'Finesse BW Data'!#REF!</definedName>
    <definedName name="Bandwidth_Confidence_Factor_v711_Security_Off">'Finesse BW Data'!#REF!</definedName>
    <definedName name="Bandwidth_Confidence_Factor_v711_Security_On" localSheetId="2">'Finesse BW Data'!#REF!</definedName>
    <definedName name="Bandwidth_Confidence_Factor_v711_Security_On" localSheetId="1">'Finesse BW Data'!#REF!</definedName>
    <definedName name="Bandwidth_Confidence_Factor_v711_Security_On" localSheetId="5">'[1]Voice BW Data'!#REF!</definedName>
    <definedName name="Bandwidth_Confidence_Factor_v711_Security_On" localSheetId="4">'Finesse BW Data'!#REF!</definedName>
    <definedName name="Bandwidth_Confidence_Factor_v711_Security_On" localSheetId="0">'Finesse BW Data'!#REF!</definedName>
    <definedName name="Bandwidth_Confidence_Factor_v711_Security_On" localSheetId="8">'Finesse BW Data'!#REF!</definedName>
    <definedName name="Bandwidth_Confidence_Factor_v711_Security_On">'Finesse BW Data'!#REF!</definedName>
    <definedName name="Bandwidth_Confidence_Factor_v721_Security_Off" localSheetId="2">'Finesse BW Data'!#REF!</definedName>
    <definedName name="Bandwidth_Confidence_Factor_v721_Security_Off" localSheetId="1">'Finesse BW Data'!#REF!</definedName>
    <definedName name="Bandwidth_Confidence_Factor_v721_Security_Off" localSheetId="5">'[1]Voice BW Data'!#REF!</definedName>
    <definedName name="Bandwidth_Confidence_Factor_v721_Security_Off" localSheetId="4">'Finesse BW Data'!#REF!</definedName>
    <definedName name="Bandwidth_Confidence_Factor_v721_Security_Off" localSheetId="0">'Finesse BW Data'!#REF!</definedName>
    <definedName name="Bandwidth_Confidence_Factor_v721_Security_Off" localSheetId="8">'Finesse BW Data'!#REF!</definedName>
    <definedName name="Bandwidth_Confidence_Factor_v721_Security_Off">'Finesse BW Data'!#REF!</definedName>
    <definedName name="Bandwidth_Confidence_Factor_v721_Security_On" localSheetId="2">'Finesse BW Data'!#REF!</definedName>
    <definedName name="Bandwidth_Confidence_Factor_v721_Security_On" localSheetId="1">'Finesse BW Data'!#REF!</definedName>
    <definedName name="Bandwidth_Confidence_Factor_v721_Security_On" localSheetId="5">'[1]Voice BW Data'!#REF!</definedName>
    <definedName name="Bandwidth_Confidence_Factor_v721_Security_On" localSheetId="4">'Finesse BW Data'!#REF!</definedName>
    <definedName name="Bandwidth_Confidence_Factor_v721_Security_On" localSheetId="0">'Finesse BW Data'!#REF!</definedName>
    <definedName name="Bandwidth_Confidence_Factor_v721_Security_On" localSheetId="8">'Finesse BW Data'!#REF!</definedName>
    <definedName name="Bandwidth_Confidence_Factor_v721_Security_On">'Finesse BW Data'!#REF!</definedName>
    <definedName name="Bandwidth_Confidence_Factor_v751_Security_Off" localSheetId="2">'Finesse BW Data'!#REF!</definedName>
    <definedName name="Bandwidth_Confidence_Factor_v751_Security_Off" localSheetId="1">'Finesse BW Data'!#REF!</definedName>
    <definedName name="Bandwidth_Confidence_Factor_v751_Security_Off" localSheetId="5">'[1]Voice BW Data'!#REF!</definedName>
    <definedName name="Bandwidth_Confidence_Factor_v751_Security_Off" localSheetId="4">'Finesse BW Data'!#REF!</definedName>
    <definedName name="Bandwidth_Confidence_Factor_v751_Security_Off" localSheetId="0">'Finesse BW Data'!#REF!</definedName>
    <definedName name="Bandwidth_Confidence_Factor_v751_Security_Off" localSheetId="8">'Finesse BW Data'!#REF!</definedName>
    <definedName name="Bandwidth_Confidence_Factor_v751_Security_Off">'Finesse BW Data'!#REF!</definedName>
    <definedName name="Bandwidth_Confidence_Factor_v751_Security_On" localSheetId="2">'Finesse BW Data'!#REF!</definedName>
    <definedName name="Bandwidth_Confidence_Factor_v751_Security_On" localSheetId="1">'Finesse BW Data'!#REF!</definedName>
    <definedName name="Bandwidth_Confidence_Factor_v751_Security_On" localSheetId="5">'[1]Voice BW Data'!#REF!</definedName>
    <definedName name="Bandwidth_Confidence_Factor_v751_Security_On" localSheetId="4">'Finesse BW Data'!#REF!</definedName>
    <definedName name="Bandwidth_Confidence_Factor_v751_Security_On" localSheetId="0">'Finesse BW Data'!#REF!</definedName>
    <definedName name="Bandwidth_Confidence_Factor_v751_Security_On" localSheetId="8">'Finesse BW Data'!#REF!</definedName>
    <definedName name="Bandwidth_Confidence_Factor_v751_Security_On">'Finesse BW Data'!#REF!</definedName>
    <definedName name="Bandwidth_Confidence_Factor_v9" localSheetId="5">'[1]Voice BW Data'!$B$31</definedName>
    <definedName name="Bandwidth_Confidence_Factor_v9">'Finesse BW Data'!$B$31</definedName>
    <definedName name="Bandwidth_Confidence_Factor_v91">'Finesse BW Data'!$D$31</definedName>
    <definedName name="BHCA" localSheetId="2">' Finesse Desktop BW'!$B$14</definedName>
    <definedName name="BHCA" localSheetId="1">'Bandwidth Calculator'!$B$16</definedName>
    <definedName name="BHCA_v5x" localSheetId="2">#REF!</definedName>
    <definedName name="BHCA_v5x" localSheetId="1">#REF!</definedName>
    <definedName name="BHCA_v5x" localSheetId="5">#REF!</definedName>
    <definedName name="BHCA_v5x" localSheetId="4">#REF!</definedName>
    <definedName name="BHCA_v5x" localSheetId="0">#REF!</definedName>
    <definedName name="BHCA_v5x" localSheetId="8">#REF!</definedName>
    <definedName name="BHCA_v5x">#REF!</definedName>
    <definedName name="BHCA_v60" localSheetId="2">#REF!</definedName>
    <definedName name="BHCA_v60" localSheetId="1">#REF!</definedName>
    <definedName name="BHCA_v60" localSheetId="5">#REF!</definedName>
    <definedName name="BHCA_v60" localSheetId="4">#REF!</definedName>
    <definedName name="BHCA_v60" localSheetId="0">#REF!</definedName>
    <definedName name="BHCA_v60" localSheetId="8">#REF!</definedName>
    <definedName name="BHCA_v60">#REF!</definedName>
    <definedName name="BHCA_v70" localSheetId="2">#REF!</definedName>
    <definedName name="BHCA_v70" localSheetId="1">#REF!</definedName>
    <definedName name="BHCA_v70" localSheetId="5">#REF!</definedName>
    <definedName name="BHCA_v70" localSheetId="4">#REF!</definedName>
    <definedName name="BHCA_v70" localSheetId="0">#REF!</definedName>
    <definedName name="BHCA_v70" localSheetId="8">#REF!</definedName>
    <definedName name="BHCA_v70">#REF!</definedName>
    <definedName name="BHCA_v711" localSheetId="2">#REF!</definedName>
    <definedName name="BHCA_v711" localSheetId="1">#REF!</definedName>
    <definedName name="BHCA_v711" localSheetId="5">#REF!</definedName>
    <definedName name="BHCA_v711" localSheetId="4">#REF!</definedName>
    <definedName name="BHCA_v711" localSheetId="0">#REF!</definedName>
    <definedName name="BHCA_v711" localSheetId="8">#REF!</definedName>
    <definedName name="BHCA_v711">#REF!</definedName>
    <definedName name="BHCA_v721" localSheetId="2">#REF!</definedName>
    <definedName name="BHCA_v721" localSheetId="1">#REF!</definedName>
    <definedName name="BHCA_v721" localSheetId="5">#REF!</definedName>
    <definedName name="BHCA_v721" localSheetId="4">#REF!</definedName>
    <definedName name="BHCA_v721" localSheetId="0">#REF!</definedName>
    <definedName name="BHCA_v721" localSheetId="8">#REF!</definedName>
    <definedName name="BHCA_v721">#REF!</definedName>
    <definedName name="BHCA_v751" localSheetId="2">#REF!</definedName>
    <definedName name="BHCA_v751" localSheetId="1">#REF!</definedName>
    <definedName name="BHCA_v751" localSheetId="5">#REF!</definedName>
    <definedName name="BHCA_v751" localSheetId="4">#REF!</definedName>
    <definedName name="BHCA_v751" localSheetId="0">#REF!</definedName>
    <definedName name="BHCA_v751" localSheetId="8">#REF!</definedName>
    <definedName name="BHCA_v751">#REF!</definedName>
    <definedName name="BHCA_v901" localSheetId="2">' Finesse Desktop BW'!$B$14</definedName>
    <definedName name="BHCA_v901" localSheetId="1">'Bandwidth Calculator'!$B$16</definedName>
    <definedName name="BHCA_v901" localSheetId="5">#REF!</definedName>
    <definedName name="BHCA_v901" localSheetId="4">#REF!</definedName>
    <definedName name="BHCA_v901" localSheetId="0">#REF!</definedName>
    <definedName name="BHCA_v901" localSheetId="8">#REF!</definedName>
    <definedName name="BHCA_v901">#REF!</definedName>
    <definedName name="Bytes_Per_Call_Variable_Value">'Finesse BW Data'!$D$41</definedName>
    <definedName name="Calls_Per_Second" localSheetId="2">' Finesse Desktop BW'!$B$17</definedName>
    <definedName name="Calls_Per_Second" localSheetId="1">'Bandwidth Calculator'!#REF!</definedName>
    <definedName name="Calls_Per_Second_v5x" localSheetId="2">#REF!</definedName>
    <definedName name="Calls_Per_Second_v5x" localSheetId="1">#REF!</definedName>
    <definedName name="Calls_Per_Second_v5x" localSheetId="5">#REF!</definedName>
    <definedName name="Calls_Per_Second_v5x" localSheetId="4">#REF!</definedName>
    <definedName name="Calls_Per_Second_v5x" localSheetId="0">#REF!</definedName>
    <definedName name="Calls_Per_Second_v5x" localSheetId="8">#REF!</definedName>
    <definedName name="Calls_Per_Second_v5x">#REF!</definedName>
    <definedName name="Calls_Per_Second_v60" localSheetId="2">#REF!</definedName>
    <definedName name="Calls_Per_Second_v60" localSheetId="1">#REF!</definedName>
    <definedName name="Calls_Per_Second_v60" localSheetId="5">#REF!</definedName>
    <definedName name="Calls_Per_Second_v60" localSheetId="4">#REF!</definedName>
    <definedName name="Calls_Per_Second_v60" localSheetId="0">#REF!</definedName>
    <definedName name="Calls_Per_Second_v60" localSheetId="8">#REF!</definedName>
    <definedName name="Calls_Per_Second_v60">#REF!</definedName>
    <definedName name="Calls_Per_Second_v70" localSheetId="2">#REF!</definedName>
    <definedName name="Calls_Per_Second_v70" localSheetId="1">#REF!</definedName>
    <definedName name="Calls_Per_Second_v70" localSheetId="5">#REF!</definedName>
    <definedName name="Calls_Per_Second_v70" localSheetId="4">#REF!</definedName>
    <definedName name="Calls_Per_Second_v70" localSheetId="0">#REF!</definedName>
    <definedName name="Calls_Per_Second_v70" localSheetId="8">#REF!</definedName>
    <definedName name="Calls_Per_Second_v70">#REF!</definedName>
    <definedName name="Calls_Per_Second_v711" localSheetId="2">#REF!</definedName>
    <definedName name="Calls_Per_Second_v711" localSheetId="1">#REF!</definedName>
    <definedName name="Calls_Per_Second_v711" localSheetId="5">#REF!</definedName>
    <definedName name="Calls_Per_Second_v711" localSheetId="4">#REF!</definedName>
    <definedName name="Calls_Per_Second_v711" localSheetId="0">#REF!</definedName>
    <definedName name="Calls_Per_Second_v711" localSheetId="8">#REF!</definedName>
    <definedName name="Calls_Per_Second_v711">#REF!</definedName>
    <definedName name="Calls_Per_Second_v721" localSheetId="2">#REF!</definedName>
    <definedName name="Calls_Per_Second_v721" localSheetId="1">#REF!</definedName>
    <definedName name="Calls_Per_Second_v721" localSheetId="5">#REF!</definedName>
    <definedName name="Calls_Per_Second_v721" localSheetId="4">#REF!</definedName>
    <definedName name="Calls_Per_Second_v721" localSheetId="0">#REF!</definedName>
    <definedName name="Calls_Per_Second_v721" localSheetId="8">#REF!</definedName>
    <definedName name="Calls_Per_Second_v721">#REF!</definedName>
    <definedName name="Calls_Per_Second_v751" localSheetId="2">#REF!</definedName>
    <definedName name="Calls_Per_Second_v751" localSheetId="1">#REF!</definedName>
    <definedName name="Calls_Per_Second_v751" localSheetId="5">#REF!</definedName>
    <definedName name="Calls_Per_Second_v751" localSheetId="4">#REF!</definedName>
    <definedName name="Calls_Per_Second_v751" localSheetId="0">#REF!</definedName>
    <definedName name="Calls_Per_Second_v751" localSheetId="8">#REF!</definedName>
    <definedName name="Calls_Per_Second_v751">#REF!</definedName>
    <definedName name="Calls_Per_Second_v901" localSheetId="2">' Finesse Desktop BW'!$B$17</definedName>
    <definedName name="Calls_Per_Second_v901" localSheetId="1">'Bandwidth Calculator'!#REF!</definedName>
    <definedName name="Calls_Per_Second_v901" localSheetId="5">#REF!</definedName>
    <definedName name="Calls_Per_Second_v901" localSheetId="4">#REF!</definedName>
    <definedName name="Calls_Per_Second_v901" localSheetId="0">#REF!</definedName>
    <definedName name="Calls_Per_Second_v901" localSheetId="8">#REF!</definedName>
    <definedName name="Calls_Per_Second_v901">#REF!</definedName>
    <definedName name="kbps">8/1000</definedName>
    <definedName name="Max_Login_Time_All_Agents" localSheetId="2">' Finesse Desktop BW'!$B$12</definedName>
    <definedName name="Max_Login_Time_All_Agents" localSheetId="1">'Bandwidth Calculator'!$B$13</definedName>
    <definedName name="Max_Login_Time_All_Agents" localSheetId="5">#REF!</definedName>
    <definedName name="Max_Login_Time_All_Agents" localSheetId="4">#REF!</definedName>
    <definedName name="Max_Login_Time_All_Agents" localSheetId="0">#REF!</definedName>
    <definedName name="Max_Login_Time_All_Agents" localSheetId="8">#REF!</definedName>
    <definedName name="Max_Login_Time_All_Agents">#REF!</definedName>
    <definedName name="Max_Login_Time_All_Users" localSheetId="2">' Finesse Desktop BW'!$B$12</definedName>
    <definedName name="Max_Login_Time_All_Users" localSheetId="1">'Bandwidth Calculator'!$B$13</definedName>
    <definedName name="Max_Login_Time_All_Users" localSheetId="5">#REF!</definedName>
    <definedName name="Max_Login_Time_All_Users" localSheetId="4">#REF!</definedName>
    <definedName name="Max_Login_Time_All_Users" localSheetId="0">#REF!</definedName>
    <definedName name="Max_Login_Time_All_Users" localSheetId="8">#REF!</definedName>
    <definedName name="Max_Login_Time_All_Users">#REF!</definedName>
    <definedName name="Maximum_Login_Time_for_all_users" localSheetId="2">' Finesse Desktop BW'!$B$12</definedName>
    <definedName name="Maximum_Login_Time_for_all_users" localSheetId="1">'Bandwidth Calculator'!$B$13</definedName>
    <definedName name="Number_of_Agent_Statistics_v5x" localSheetId="2">#REF!</definedName>
    <definedName name="Number_of_Agent_Statistics_v5x" localSheetId="1">#REF!</definedName>
    <definedName name="Number_of_Agent_Statistics_v5x" localSheetId="5">#REF!</definedName>
    <definedName name="Number_of_Agent_Statistics_v5x" localSheetId="4">#REF!</definedName>
    <definedName name="Number_of_Agent_Statistics_v5x" localSheetId="0">#REF!</definedName>
    <definedName name="Number_of_Agent_Statistics_v5x" localSheetId="8">#REF!</definedName>
    <definedName name="Number_of_Agent_Statistics_v5x">#REF!</definedName>
    <definedName name="Number_of_Agent_Statistics_v60" localSheetId="2">#REF!</definedName>
    <definedName name="Number_of_Agent_Statistics_v60" localSheetId="1">#REF!</definedName>
    <definedName name="Number_of_Agent_Statistics_v60" localSheetId="5">#REF!</definedName>
    <definedName name="Number_of_Agent_Statistics_v60" localSheetId="4">#REF!</definedName>
    <definedName name="Number_of_Agent_Statistics_v60" localSheetId="0">#REF!</definedName>
    <definedName name="Number_of_Agent_Statistics_v60" localSheetId="8">#REF!</definedName>
    <definedName name="Number_of_Agent_Statistics_v60">#REF!</definedName>
    <definedName name="Number_of_Agent_Statistics_v70" localSheetId="2">#REF!</definedName>
    <definedName name="Number_of_Agent_Statistics_v70" localSheetId="1">#REF!</definedName>
    <definedName name="Number_of_Agent_Statistics_v70" localSheetId="5">#REF!</definedName>
    <definedName name="Number_of_Agent_Statistics_v70" localSheetId="4">#REF!</definedName>
    <definedName name="Number_of_Agent_Statistics_v70" localSheetId="0">#REF!</definedName>
    <definedName name="Number_of_Agent_Statistics_v70" localSheetId="8">#REF!</definedName>
    <definedName name="Number_of_Agent_Statistics_v70">#REF!</definedName>
    <definedName name="Number_of_Agent_Statistics_v711" localSheetId="2">#REF!</definedName>
    <definedName name="Number_of_Agent_Statistics_v711" localSheetId="1">#REF!</definedName>
    <definedName name="Number_of_Agent_Statistics_v711" localSheetId="5">#REF!</definedName>
    <definedName name="Number_of_Agent_Statistics_v711" localSheetId="4">#REF!</definedName>
    <definedName name="Number_of_Agent_Statistics_v711" localSheetId="0">#REF!</definedName>
    <definedName name="Number_of_Agent_Statistics_v711" localSheetId="8">#REF!</definedName>
    <definedName name="Number_of_Agent_Statistics_v711">#REF!</definedName>
    <definedName name="Number_of_Agent_Statistics_v721" localSheetId="2">#REF!</definedName>
    <definedName name="Number_of_Agent_Statistics_v721" localSheetId="1">#REF!</definedName>
    <definedName name="Number_of_Agent_Statistics_v721" localSheetId="5">#REF!</definedName>
    <definedName name="Number_of_Agent_Statistics_v721" localSheetId="4">#REF!</definedName>
    <definedName name="Number_of_Agent_Statistics_v721" localSheetId="0">#REF!</definedName>
    <definedName name="Number_of_Agent_Statistics_v721" localSheetId="8">#REF!</definedName>
    <definedName name="Number_of_Agent_Statistics_v721">#REF!</definedName>
    <definedName name="Number_of_Agent_Statistics_v751" localSheetId="2">#REF!</definedName>
    <definedName name="Number_of_Agent_Statistics_v751" localSheetId="1">#REF!</definedName>
    <definedName name="Number_of_Agent_Statistics_v751" localSheetId="5">#REF!</definedName>
    <definedName name="Number_of_Agent_Statistics_v751" localSheetId="4">#REF!</definedName>
    <definedName name="Number_of_Agent_Statistics_v751" localSheetId="0">#REF!</definedName>
    <definedName name="Number_of_Agent_Statistics_v751" localSheetId="8">#REF!</definedName>
    <definedName name="Number_of_Agent_Statistics_v751">#REF!</definedName>
    <definedName name="Number_of_Agent_Statistics_v801" localSheetId="2">' Finesse Desktop BW'!$B$37</definedName>
    <definedName name="Number_of_Agent_Statistics_v801" localSheetId="1">'Bandwidth Calculator'!$B$37</definedName>
    <definedName name="Number_of_Agent_Statistics_v801" localSheetId="5">#REF!</definedName>
    <definedName name="Number_of_Agent_Statistics_v801" localSheetId="4">#REF!</definedName>
    <definedName name="Number_of_Agent_Statistics_v801" localSheetId="0">#REF!</definedName>
    <definedName name="Number_of_Agent_Statistics_v801" localSheetId="8">#REF!</definedName>
    <definedName name="Number_of_Agent_Statistics_v801">#REF!</definedName>
    <definedName name="Number_of_Agents" localSheetId="2">' Finesse Desktop BW'!$B$9</definedName>
    <definedName name="Number_of_Agents" localSheetId="1">'Bandwidth Calculator'!$B$10</definedName>
    <definedName name="Number_of_All_Agents_Monitors_v5x" localSheetId="2">#REF!</definedName>
    <definedName name="Number_of_All_Agents_Monitors_v5x" localSheetId="1">#REF!</definedName>
    <definedName name="Number_of_All_Agents_Monitors_v5x" localSheetId="5">#REF!</definedName>
    <definedName name="Number_of_All_Agents_Monitors_v5x" localSheetId="4">#REF!</definedName>
    <definedName name="Number_of_All_Agents_Monitors_v5x" localSheetId="0">#REF!</definedName>
    <definedName name="Number_of_All_Agents_Monitors_v5x" localSheetId="8">#REF!</definedName>
    <definedName name="Number_of_All_Agents_Monitors_v5x">#REF!</definedName>
    <definedName name="Number_of_All_Agents_Monitors_v60" localSheetId="2">#REF!</definedName>
    <definedName name="Number_of_All_Agents_Monitors_v60" localSheetId="1">#REF!</definedName>
    <definedName name="Number_of_All_Agents_Monitors_v60" localSheetId="5">#REF!</definedName>
    <definedName name="Number_of_All_Agents_Monitors_v60" localSheetId="4">#REF!</definedName>
    <definedName name="Number_of_All_Agents_Monitors_v60" localSheetId="0">#REF!</definedName>
    <definedName name="Number_of_All_Agents_Monitors_v60" localSheetId="8">#REF!</definedName>
    <definedName name="Number_of_All_Agents_Monitors_v60">#REF!</definedName>
    <definedName name="Number_of_All_Agents_Monitors_v70" localSheetId="2">#REF!</definedName>
    <definedName name="Number_of_All_Agents_Monitors_v70" localSheetId="1">#REF!</definedName>
    <definedName name="Number_of_All_Agents_Monitors_v70" localSheetId="5">#REF!</definedName>
    <definedName name="Number_of_All_Agents_Monitors_v70" localSheetId="4">#REF!</definedName>
    <definedName name="Number_of_All_Agents_Monitors_v70" localSheetId="0">#REF!</definedName>
    <definedName name="Number_of_All_Agents_Monitors_v70" localSheetId="8">#REF!</definedName>
    <definedName name="Number_of_All_Agents_Monitors_v70">#REF!</definedName>
    <definedName name="Number_of_All_Agents_Monitors_v711" localSheetId="2">#REF!</definedName>
    <definedName name="Number_of_All_Agents_Monitors_v711" localSheetId="1">#REF!</definedName>
    <definedName name="Number_of_All_Agents_Monitors_v711" localSheetId="5">#REF!</definedName>
    <definedName name="Number_of_All_Agents_Monitors_v711" localSheetId="4">#REF!</definedName>
    <definedName name="Number_of_All_Agents_Monitors_v711" localSheetId="0">#REF!</definedName>
    <definedName name="Number_of_All_Agents_Monitors_v711" localSheetId="8">#REF!</definedName>
    <definedName name="Number_of_All_Agents_Monitors_v711">#REF!</definedName>
    <definedName name="Number_of_All_Agents_Monitors_v721" localSheetId="2">#REF!</definedName>
    <definedName name="Number_of_All_Agents_Monitors_v721" localSheetId="1">#REF!</definedName>
    <definedName name="Number_of_All_Agents_Monitors_v721" localSheetId="5">#REF!</definedName>
    <definedName name="Number_of_All_Agents_Monitors_v721" localSheetId="4">#REF!</definedName>
    <definedName name="Number_of_All_Agents_Monitors_v721" localSheetId="0">#REF!</definedName>
    <definedName name="Number_of_All_Agents_Monitors_v721" localSheetId="8">#REF!</definedName>
    <definedName name="Number_of_All_Agents_Monitors_v721">#REF!</definedName>
    <definedName name="Number_of_All_Agents_Monitors_v751" localSheetId="2">#REF!</definedName>
    <definedName name="Number_of_All_Agents_Monitors_v751" localSheetId="1">#REF!</definedName>
    <definedName name="Number_of_All_Agents_Monitors_v751" localSheetId="5">#REF!</definedName>
    <definedName name="Number_of_All_Agents_Monitors_v751" localSheetId="4">#REF!</definedName>
    <definedName name="Number_of_All_Agents_Monitors_v751" localSheetId="0">#REF!</definedName>
    <definedName name="Number_of_All_Agents_Monitors_v751" localSheetId="8">#REF!</definedName>
    <definedName name="Number_of_All_Agents_Monitors_v751">#REF!</definedName>
    <definedName name="Number_of_All_Agents_Monitors_v801" localSheetId="2">' Finesse Desktop BW'!$B$11</definedName>
    <definedName name="Number_of_All_Agents_Monitors_v801" localSheetId="1">'Bandwidth Calculator'!$B$12</definedName>
    <definedName name="Number_of_All_Agents_Monitors_v801" localSheetId="5">#REF!</definedName>
    <definedName name="Number_of_All_Agents_Monitors_v801" localSheetId="4">#REF!</definedName>
    <definedName name="Number_of_All_Agents_Monitors_v801" localSheetId="0">#REF!</definedName>
    <definedName name="Number_of_All_Agents_Monitors_v801" localSheetId="8">#REF!</definedName>
    <definedName name="Number_of_All_Agents_Monitors_v801">#REF!</definedName>
    <definedName name="Number_of_Call_Variables">'Finesse BW Data'!$B$40</definedName>
    <definedName name="Number_of_Call_Variables_v5x" localSheetId="2">#REF!</definedName>
    <definedName name="Number_of_Call_Variables_v5x" localSheetId="1">#REF!</definedName>
    <definedName name="Number_of_Call_Variables_v5x" localSheetId="5">#REF!</definedName>
    <definedName name="Number_of_Call_Variables_v5x" localSheetId="4">#REF!</definedName>
    <definedName name="Number_of_Call_Variables_v5x" localSheetId="0">#REF!</definedName>
    <definedName name="Number_of_Call_Variables_v5x" localSheetId="8">#REF!</definedName>
    <definedName name="Number_of_Call_Variables_v5x">#REF!</definedName>
    <definedName name="Number_of_Call_Variables_v60" localSheetId="2">#REF!</definedName>
    <definedName name="Number_of_Call_Variables_v60" localSheetId="1">#REF!</definedName>
    <definedName name="Number_of_Call_Variables_v60" localSheetId="5">#REF!</definedName>
    <definedName name="Number_of_Call_Variables_v60" localSheetId="4">#REF!</definedName>
    <definedName name="Number_of_Call_Variables_v60" localSheetId="0">#REF!</definedName>
    <definedName name="Number_of_Call_Variables_v60" localSheetId="8">#REF!</definedName>
    <definedName name="Number_of_Call_Variables_v60">#REF!</definedName>
    <definedName name="Number_of_Call_Variables_v70" localSheetId="2">#REF!</definedName>
    <definedName name="Number_of_Call_Variables_v70" localSheetId="1">#REF!</definedName>
    <definedName name="Number_of_Call_Variables_v70" localSheetId="5">#REF!</definedName>
    <definedName name="Number_of_Call_Variables_v70" localSheetId="4">#REF!</definedName>
    <definedName name="Number_of_Call_Variables_v70" localSheetId="0">#REF!</definedName>
    <definedName name="Number_of_Call_Variables_v70" localSheetId="8">#REF!</definedName>
    <definedName name="Number_of_Call_Variables_v70">#REF!</definedName>
    <definedName name="Number_of_Call_Variables_v711" localSheetId="2">#REF!</definedName>
    <definedName name="Number_of_Call_Variables_v711" localSheetId="1">#REF!</definedName>
    <definedName name="Number_of_Call_Variables_v711" localSheetId="5">#REF!</definedName>
    <definedName name="Number_of_Call_Variables_v711" localSheetId="4">#REF!</definedName>
    <definedName name="Number_of_Call_Variables_v711" localSheetId="0">#REF!</definedName>
    <definedName name="Number_of_Call_Variables_v711" localSheetId="8">#REF!</definedName>
    <definedName name="Number_of_Call_Variables_v711">#REF!</definedName>
    <definedName name="Number_of_Call_Variables_v721" localSheetId="2">#REF!</definedName>
    <definedName name="Number_of_Call_Variables_v721" localSheetId="1">#REF!</definedName>
    <definedName name="Number_of_Call_Variables_v721" localSheetId="5">#REF!</definedName>
    <definedName name="Number_of_Call_Variables_v721" localSheetId="4">#REF!</definedName>
    <definedName name="Number_of_Call_Variables_v721" localSheetId="0">#REF!</definedName>
    <definedName name="Number_of_Call_Variables_v721" localSheetId="8">#REF!</definedName>
    <definedName name="Number_of_Call_Variables_v721">#REF!</definedName>
    <definedName name="Number_of_Call_Variables_v751" localSheetId="2">#REF!</definedName>
    <definedName name="Number_of_Call_Variables_v751" localSheetId="1">#REF!</definedName>
    <definedName name="Number_of_Call_Variables_v751" localSheetId="5">#REF!</definedName>
    <definedName name="Number_of_Call_Variables_v751" localSheetId="4">#REF!</definedName>
    <definedName name="Number_of_Call_Variables_v751" localSheetId="0">#REF!</definedName>
    <definedName name="Number_of_Call_Variables_v751" localSheetId="8">#REF!</definedName>
    <definedName name="Number_of_Call_Variables_v751">#REF!</definedName>
    <definedName name="Number_of_Call_Variables_v901" localSheetId="2">' Finesse Desktop BW'!#REF!</definedName>
    <definedName name="Number_of_Call_Variables_v901" localSheetId="1">'Bandwidth Calculator'!#REF!</definedName>
    <definedName name="Number_of_Call_Variables_v901" localSheetId="5">#REF!</definedName>
    <definedName name="Number_of_Call_Variables_v901" localSheetId="4">#REF!</definedName>
    <definedName name="Number_of_Call_Variables_v901" localSheetId="0">#REF!</definedName>
    <definedName name="Number_of_Call_Variables_v901" localSheetId="8">#REF!</definedName>
    <definedName name="Number_of_Call_Variables_v901">#REF!</definedName>
    <definedName name="Number_of_Call_Variables_v91">'Finesse BW Data'!$D$40</definedName>
    <definedName name="Number_of_Configured_Call_variables" localSheetId="1">'Bandwidth Calculator'!$B$45</definedName>
    <definedName name="Number_of_Configured_Call_variables" localSheetId="5">'[1]Finesse 11.6'!$B$45</definedName>
    <definedName name="Number_of_Configured_Call_variables">' Finesse Desktop BW'!$B$45</definedName>
    <definedName name="Number_of_Configured_ECC_variables" localSheetId="2">' Finesse Desktop BW'!$B$41</definedName>
    <definedName name="Number_of_Configured_ECC_variables" localSheetId="1">'Bandwidth Calculator'!$B$41</definedName>
    <definedName name="Number_of_Configured_ECC_variables_v5x" localSheetId="2">#REF!</definedName>
    <definedName name="Number_of_Configured_ECC_variables_v5x" localSheetId="1">#REF!</definedName>
    <definedName name="Number_of_Configured_ECC_variables_v5x" localSheetId="5">#REF!</definedName>
    <definedName name="Number_of_Configured_ECC_variables_v5x" localSheetId="4">#REF!</definedName>
    <definedName name="Number_of_Configured_ECC_variables_v5x" localSheetId="0">#REF!</definedName>
    <definedName name="Number_of_Configured_ECC_variables_v5x" localSheetId="8">#REF!</definedName>
    <definedName name="Number_of_Configured_ECC_variables_v5x">#REF!</definedName>
    <definedName name="Number_of_Configured_ECC_variables_v60" localSheetId="2">#REF!</definedName>
    <definedName name="Number_of_Configured_ECC_variables_v60" localSheetId="1">#REF!</definedName>
    <definedName name="Number_of_Configured_ECC_variables_v60" localSheetId="5">#REF!</definedName>
    <definedName name="Number_of_Configured_ECC_variables_v60" localSheetId="4">#REF!</definedName>
    <definedName name="Number_of_Configured_ECC_variables_v60" localSheetId="0">#REF!</definedName>
    <definedName name="Number_of_Configured_ECC_variables_v60" localSheetId="8">#REF!</definedName>
    <definedName name="Number_of_Configured_ECC_variables_v60">#REF!</definedName>
    <definedName name="Number_of_Configured_ECC_variables_v70" localSheetId="2">#REF!</definedName>
    <definedName name="Number_of_Configured_ECC_variables_v70" localSheetId="1">#REF!</definedName>
    <definedName name="Number_of_Configured_ECC_variables_v70" localSheetId="5">#REF!</definedName>
    <definedName name="Number_of_Configured_ECC_variables_v70" localSheetId="4">#REF!</definedName>
    <definedName name="Number_of_Configured_ECC_variables_v70" localSheetId="0">#REF!</definedName>
    <definedName name="Number_of_Configured_ECC_variables_v70" localSheetId="8">#REF!</definedName>
    <definedName name="Number_of_Configured_ECC_variables_v70">#REF!</definedName>
    <definedName name="Number_of_Configured_ECC_variables_v711" localSheetId="2">#REF!</definedName>
    <definedName name="Number_of_Configured_ECC_variables_v711" localSheetId="1">#REF!</definedName>
    <definedName name="Number_of_Configured_ECC_variables_v711" localSheetId="5">#REF!</definedName>
    <definedName name="Number_of_Configured_ECC_variables_v711" localSheetId="4">#REF!</definedName>
    <definedName name="Number_of_Configured_ECC_variables_v711" localSheetId="0">#REF!</definedName>
    <definedName name="Number_of_Configured_ECC_variables_v711" localSheetId="8">#REF!</definedName>
    <definedName name="Number_of_Configured_ECC_variables_v711">#REF!</definedName>
    <definedName name="Number_of_Configured_ECC_variables_v721" localSheetId="2">#REF!</definedName>
    <definedName name="Number_of_Configured_ECC_variables_v721" localSheetId="1">#REF!</definedName>
    <definedName name="Number_of_Configured_ECC_variables_v721" localSheetId="5">#REF!</definedName>
    <definedName name="Number_of_Configured_ECC_variables_v721" localSheetId="4">#REF!</definedName>
    <definedName name="Number_of_Configured_ECC_variables_v721" localSheetId="0">#REF!</definedName>
    <definedName name="Number_of_Configured_ECC_variables_v721" localSheetId="8">#REF!</definedName>
    <definedName name="Number_of_Configured_ECC_variables_v721">#REF!</definedName>
    <definedName name="Number_of_Configured_ECC_variables_v751" localSheetId="2">#REF!</definedName>
    <definedName name="Number_of_Configured_ECC_variables_v751" localSheetId="1">#REF!</definedName>
    <definedName name="Number_of_Configured_ECC_variables_v751" localSheetId="5">#REF!</definedName>
    <definedName name="Number_of_Configured_ECC_variables_v751" localSheetId="4">#REF!</definedName>
    <definedName name="Number_of_Configured_ECC_variables_v751" localSheetId="0">#REF!</definedName>
    <definedName name="Number_of_Configured_ECC_variables_v751" localSheetId="8">#REF!</definedName>
    <definedName name="Number_of_Configured_ECC_variables_v751">#REF!</definedName>
    <definedName name="Number_of_Configured_ECC_variables_v901" localSheetId="2">' Finesse Desktop BW'!$B$41</definedName>
    <definedName name="Number_of_Configured_ECC_variables_v901" localSheetId="1">'Bandwidth Calculator'!$B$41</definedName>
    <definedName name="Number_of_Configured_ECC_variables_v901" localSheetId="5">#REF!</definedName>
    <definedName name="Number_of_Configured_ECC_variables_v901" localSheetId="4">#REF!</definedName>
    <definedName name="Number_of_Configured_ECC_variables_v901" localSheetId="0">#REF!</definedName>
    <definedName name="Number_of_Configured_ECC_variables_v901" localSheetId="8">#REF!</definedName>
    <definedName name="Number_of_Configured_ECC_variables_v901">#REF!</definedName>
    <definedName name="Number_of_Skill_Group_Statistics_v5x" localSheetId="2">#REF!</definedName>
    <definedName name="Number_of_Skill_Group_Statistics_v5x" localSheetId="1">#REF!</definedName>
    <definedName name="Number_of_Skill_Group_Statistics_v5x" localSheetId="5">#REF!</definedName>
    <definedName name="Number_of_Skill_Group_Statistics_v5x" localSheetId="4">#REF!</definedName>
    <definedName name="Number_of_Skill_Group_Statistics_v5x" localSheetId="0">#REF!</definedName>
    <definedName name="Number_of_Skill_Group_Statistics_v5x" localSheetId="8">#REF!</definedName>
    <definedName name="Number_of_Skill_Group_Statistics_v5x">#REF!</definedName>
    <definedName name="Number_of_Skill_Group_Statistics_v60" localSheetId="2">#REF!</definedName>
    <definedName name="Number_of_Skill_Group_Statistics_v60" localSheetId="1">#REF!</definedName>
    <definedName name="Number_of_Skill_Group_Statistics_v60" localSheetId="5">#REF!</definedName>
    <definedName name="Number_of_Skill_Group_Statistics_v60" localSheetId="4">#REF!</definedName>
    <definedName name="Number_of_Skill_Group_Statistics_v60" localSheetId="0">#REF!</definedName>
    <definedName name="Number_of_Skill_Group_Statistics_v60" localSheetId="8">#REF!</definedName>
    <definedName name="Number_of_Skill_Group_Statistics_v60">#REF!</definedName>
    <definedName name="Number_of_Skill_Group_Statistics_v70" localSheetId="2">#REF!</definedName>
    <definedName name="Number_of_Skill_Group_Statistics_v70" localSheetId="1">#REF!</definedName>
    <definedName name="Number_of_Skill_Group_Statistics_v70" localSheetId="5">#REF!</definedName>
    <definedName name="Number_of_Skill_Group_Statistics_v70" localSheetId="4">#REF!</definedName>
    <definedName name="Number_of_Skill_Group_Statistics_v70" localSheetId="0">#REF!</definedName>
    <definedName name="Number_of_Skill_Group_Statistics_v70" localSheetId="8">#REF!</definedName>
    <definedName name="Number_of_Skill_Group_Statistics_v70">#REF!</definedName>
    <definedName name="Number_of_Skill_Group_Statistics_v711" localSheetId="2">#REF!</definedName>
    <definedName name="Number_of_Skill_Group_Statistics_v711" localSheetId="1">#REF!</definedName>
    <definedName name="Number_of_Skill_Group_Statistics_v711" localSheetId="5">#REF!</definedName>
    <definedName name="Number_of_Skill_Group_Statistics_v711" localSheetId="4">#REF!</definedName>
    <definedName name="Number_of_Skill_Group_Statistics_v711" localSheetId="0">#REF!</definedName>
    <definedName name="Number_of_Skill_Group_Statistics_v711" localSheetId="8">#REF!</definedName>
    <definedName name="Number_of_Skill_Group_Statistics_v711">#REF!</definedName>
    <definedName name="Number_of_Skill_Group_Statistics_v721" localSheetId="2">#REF!</definedName>
    <definedName name="Number_of_Skill_Group_Statistics_v721" localSheetId="1">#REF!</definedName>
    <definedName name="Number_of_Skill_Group_Statistics_v721" localSheetId="5">#REF!</definedName>
    <definedName name="Number_of_Skill_Group_Statistics_v721" localSheetId="4">#REF!</definedName>
    <definedName name="Number_of_Skill_Group_Statistics_v721" localSheetId="0">#REF!</definedName>
    <definedName name="Number_of_Skill_Group_Statistics_v721" localSheetId="8">#REF!</definedName>
    <definedName name="Number_of_Skill_Group_Statistics_v721">#REF!</definedName>
    <definedName name="Number_of_Skill_Group_Statistics_v751" localSheetId="2">#REF!</definedName>
    <definedName name="Number_of_Skill_Group_Statistics_v751" localSheetId="1">#REF!</definedName>
    <definedName name="Number_of_Skill_Group_Statistics_v751" localSheetId="5">#REF!</definedName>
    <definedName name="Number_of_Skill_Group_Statistics_v751" localSheetId="4">#REF!</definedName>
    <definedName name="Number_of_Skill_Group_Statistics_v751" localSheetId="0">#REF!</definedName>
    <definedName name="Number_of_Skill_Group_Statistics_v751" localSheetId="8">#REF!</definedName>
    <definedName name="Number_of_Skill_Group_Statistics_v751">#REF!</definedName>
    <definedName name="Number_of_Skill_Group_Statistics_v801" localSheetId="2">' Finesse Desktop BW'!$B$34</definedName>
    <definedName name="Number_of_Skill_Group_Statistics_v801" localSheetId="1">'Bandwidth Calculator'!$B$34</definedName>
    <definedName name="Number_of_Skill_Group_Statistics_v801" localSheetId="5">#REF!</definedName>
    <definedName name="Number_of_Skill_Group_Statistics_v801" localSheetId="4">#REF!</definedName>
    <definedName name="Number_of_Skill_Group_Statistics_v801" localSheetId="0">#REF!</definedName>
    <definedName name="Number_of_Skill_Group_Statistics_v801" localSheetId="8">#REF!</definedName>
    <definedName name="Number_of_Skill_Group_Statistics_v801">#REF!</definedName>
    <definedName name="Number_of_Skill_Groups_per_Agent_v5x" localSheetId="2">#REF!</definedName>
    <definedName name="Number_of_Skill_Groups_per_Agent_v5x" localSheetId="1">#REF!</definedName>
    <definedName name="Number_of_Skill_Groups_per_Agent_v5x" localSheetId="5">#REF!</definedName>
    <definedName name="Number_of_Skill_Groups_per_Agent_v5x" localSheetId="4">#REF!</definedName>
    <definedName name="Number_of_Skill_Groups_per_Agent_v5x" localSheetId="0">#REF!</definedName>
    <definedName name="Number_of_Skill_Groups_per_Agent_v5x" localSheetId="8">#REF!</definedName>
    <definedName name="Number_of_Skill_Groups_per_Agent_v5x">#REF!</definedName>
    <definedName name="Number_of_Skill_Groups_per_Agent_v60" localSheetId="2">#REF!</definedName>
    <definedName name="Number_of_Skill_Groups_per_Agent_v60" localSheetId="1">#REF!</definedName>
    <definedName name="Number_of_Skill_Groups_per_Agent_v60" localSheetId="5">#REF!</definedName>
    <definedName name="Number_of_Skill_Groups_per_Agent_v60" localSheetId="4">#REF!</definedName>
    <definedName name="Number_of_Skill_Groups_per_Agent_v60" localSheetId="0">#REF!</definedName>
    <definedName name="Number_of_Skill_Groups_per_Agent_v60" localSheetId="8">#REF!</definedName>
    <definedName name="Number_of_Skill_Groups_per_Agent_v60">#REF!</definedName>
    <definedName name="Number_of_Skill_Groups_per_Agent_v70" localSheetId="2">#REF!</definedName>
    <definedName name="Number_of_Skill_Groups_per_Agent_v70" localSheetId="1">#REF!</definedName>
    <definedName name="Number_of_Skill_Groups_per_Agent_v70" localSheetId="5">#REF!</definedName>
    <definedName name="Number_of_Skill_Groups_per_Agent_v70" localSheetId="4">#REF!</definedName>
    <definedName name="Number_of_Skill_Groups_per_Agent_v70" localSheetId="0">#REF!</definedName>
    <definedName name="Number_of_Skill_Groups_per_Agent_v70" localSheetId="8">#REF!</definedName>
    <definedName name="Number_of_Skill_Groups_per_Agent_v70">#REF!</definedName>
    <definedName name="Number_of_Skill_Groups_per_Agent_v711" localSheetId="2">#REF!</definedName>
    <definedName name="Number_of_Skill_Groups_per_Agent_v711" localSheetId="1">#REF!</definedName>
    <definedName name="Number_of_Skill_Groups_per_Agent_v711" localSheetId="5">#REF!</definedName>
    <definedName name="Number_of_Skill_Groups_per_Agent_v711" localSheetId="4">#REF!</definedName>
    <definedName name="Number_of_Skill_Groups_per_Agent_v711" localSheetId="0">#REF!</definedName>
    <definedName name="Number_of_Skill_Groups_per_Agent_v711" localSheetId="8">#REF!</definedName>
    <definedName name="Number_of_Skill_Groups_per_Agent_v711">#REF!</definedName>
    <definedName name="Number_of_Skill_Groups_per_Agent_v721" localSheetId="2">#REF!</definedName>
    <definedName name="Number_of_Skill_Groups_per_Agent_v721" localSheetId="1">#REF!</definedName>
    <definedName name="Number_of_Skill_Groups_per_Agent_v721" localSheetId="5">#REF!</definedName>
    <definedName name="Number_of_Skill_Groups_per_Agent_v721" localSheetId="4">#REF!</definedName>
    <definedName name="Number_of_Skill_Groups_per_Agent_v721" localSheetId="0">#REF!</definedName>
    <definedName name="Number_of_Skill_Groups_per_Agent_v721" localSheetId="8">#REF!</definedName>
    <definedName name="Number_of_Skill_Groups_per_Agent_v721">#REF!</definedName>
    <definedName name="Number_of_Skill_Groups_per_Agent_v751" localSheetId="2">#REF!</definedName>
    <definedName name="Number_of_Skill_Groups_per_Agent_v751" localSheetId="1">#REF!</definedName>
    <definedName name="Number_of_Skill_Groups_per_Agent_v751" localSheetId="5">#REF!</definedName>
    <definedName name="Number_of_Skill_Groups_per_Agent_v751" localSheetId="4">#REF!</definedName>
    <definedName name="Number_of_Skill_Groups_per_Agent_v751" localSheetId="0">#REF!</definedName>
    <definedName name="Number_of_Skill_Groups_per_Agent_v751" localSheetId="8">#REF!</definedName>
    <definedName name="Number_of_Skill_Groups_per_Agent_v751">#REF!</definedName>
    <definedName name="Number_of_Skill_Groups_per_Agent_v801" localSheetId="2">' Finesse Desktop BW'!$B$30</definedName>
    <definedName name="Number_of_Skill_Groups_per_Agent_v801" localSheetId="1">'Bandwidth Calculator'!$B$30</definedName>
    <definedName name="Number_of_Skill_Groups_per_Agent_v801" localSheetId="5">#REF!</definedName>
    <definedName name="Number_of_Skill_Groups_per_Agent_v801" localSheetId="4">#REF!</definedName>
    <definedName name="Number_of_Skill_Groups_per_Agent_v801" localSheetId="0">#REF!</definedName>
    <definedName name="Number_of_Skill_Groups_per_Agent_v801" localSheetId="8">#REF!</definedName>
    <definedName name="Number_of_Skill_Groups_per_Agent_v801">#REF!</definedName>
    <definedName name="Number_of_Skill_Groups_per_Supervisor_v5x" localSheetId="2">#REF!</definedName>
    <definedName name="Number_of_Skill_Groups_per_Supervisor_v5x" localSheetId="1">#REF!</definedName>
    <definedName name="Number_of_Skill_Groups_per_Supervisor_v5x" localSheetId="5">#REF!</definedName>
    <definedName name="Number_of_Skill_Groups_per_Supervisor_v5x" localSheetId="4">#REF!</definedName>
    <definedName name="Number_of_Skill_Groups_per_Supervisor_v5x" localSheetId="0">#REF!</definedName>
    <definedName name="Number_of_Skill_Groups_per_Supervisor_v5x" localSheetId="8">#REF!</definedName>
    <definedName name="Number_of_Skill_Groups_per_Supervisor_v5x">#REF!</definedName>
    <definedName name="Number_of_Skill_Groups_per_Supervisor_v60" localSheetId="2">#REF!</definedName>
    <definedName name="Number_of_Skill_Groups_per_Supervisor_v60" localSheetId="1">#REF!</definedName>
    <definedName name="Number_of_Skill_Groups_per_Supervisor_v60" localSheetId="5">#REF!</definedName>
    <definedName name="Number_of_Skill_Groups_per_Supervisor_v60" localSheetId="4">#REF!</definedName>
    <definedName name="Number_of_Skill_Groups_per_Supervisor_v60" localSheetId="0">#REF!</definedName>
    <definedName name="Number_of_Skill_Groups_per_Supervisor_v60" localSheetId="8">#REF!</definedName>
    <definedName name="Number_of_Skill_Groups_per_Supervisor_v60">#REF!</definedName>
    <definedName name="Number_of_Skill_Groups_per_Supervisor_v70" localSheetId="2">#REF!</definedName>
    <definedName name="Number_of_Skill_Groups_per_Supervisor_v70" localSheetId="1">#REF!</definedName>
    <definedName name="Number_of_Skill_Groups_per_Supervisor_v70" localSheetId="5">#REF!</definedName>
    <definedName name="Number_of_Skill_Groups_per_Supervisor_v70" localSheetId="4">#REF!</definedName>
    <definedName name="Number_of_Skill_Groups_per_Supervisor_v70" localSheetId="0">#REF!</definedName>
    <definedName name="Number_of_Skill_Groups_per_Supervisor_v70" localSheetId="8">#REF!</definedName>
    <definedName name="Number_of_Skill_Groups_per_Supervisor_v70">#REF!</definedName>
    <definedName name="Number_of_Skill_Groups_per_Supervisor_v711" localSheetId="2">#REF!</definedName>
    <definedName name="Number_of_Skill_Groups_per_Supervisor_v711" localSheetId="1">#REF!</definedName>
    <definedName name="Number_of_Skill_Groups_per_Supervisor_v711" localSheetId="5">#REF!</definedName>
    <definedName name="Number_of_Skill_Groups_per_Supervisor_v711" localSheetId="4">#REF!</definedName>
    <definedName name="Number_of_Skill_Groups_per_Supervisor_v711" localSheetId="0">#REF!</definedName>
    <definedName name="Number_of_Skill_Groups_per_Supervisor_v711" localSheetId="8">#REF!</definedName>
    <definedName name="Number_of_Skill_Groups_per_Supervisor_v711">#REF!</definedName>
    <definedName name="Number_of_Skill_Groups_per_Supervisor_v721" localSheetId="2">#REF!</definedName>
    <definedName name="Number_of_Skill_Groups_per_Supervisor_v721" localSheetId="1">#REF!</definedName>
    <definedName name="Number_of_Skill_Groups_per_Supervisor_v721" localSheetId="5">#REF!</definedName>
    <definedName name="Number_of_Skill_Groups_per_Supervisor_v721" localSheetId="4">#REF!</definedName>
    <definedName name="Number_of_Skill_Groups_per_Supervisor_v721" localSheetId="0">#REF!</definedName>
    <definedName name="Number_of_Skill_Groups_per_Supervisor_v721" localSheetId="8">#REF!</definedName>
    <definedName name="Number_of_Skill_Groups_per_Supervisor_v721">#REF!</definedName>
    <definedName name="Number_of_Skill_Groups_per_Supervisor_v751" localSheetId="2">#REF!</definedName>
    <definedName name="Number_of_Skill_Groups_per_Supervisor_v751" localSheetId="1">#REF!</definedName>
    <definedName name="Number_of_Skill_Groups_per_Supervisor_v751" localSheetId="5">#REF!</definedName>
    <definedName name="Number_of_Skill_Groups_per_Supervisor_v751" localSheetId="4">#REF!</definedName>
    <definedName name="Number_of_Skill_Groups_per_Supervisor_v751" localSheetId="0">#REF!</definedName>
    <definedName name="Number_of_Skill_Groups_per_Supervisor_v751" localSheetId="8">#REF!</definedName>
    <definedName name="Number_of_Skill_Groups_per_Supervisor_v751">#REF!</definedName>
    <definedName name="Number_of_Skill_Groups_per_Supervisor_v901" localSheetId="2">' Finesse Desktop BW'!$B$32</definedName>
    <definedName name="Number_of_Skill_Groups_per_Supervisor_v901" localSheetId="1">'Bandwidth Calculator'!$B$32</definedName>
    <definedName name="Number_of_Skill_Groups_per_Supervisor_v901" localSheetId="5">#REF!</definedName>
    <definedName name="Number_of_Skill_Groups_per_Supervisor_v901" localSheetId="4">#REF!</definedName>
    <definedName name="Number_of_Skill_Groups_per_Supervisor_v901" localSheetId="0">#REF!</definedName>
    <definedName name="Number_of_Skill_Groups_per_Supervisor_v901" localSheetId="8">#REF!</definedName>
    <definedName name="Number_of_Skill_Groups_per_Supervisor_v901">#REF!</definedName>
    <definedName name="Number_of_Skill_Groups_PG" localSheetId="1">'Bandwidth Calculator'!$B$39</definedName>
    <definedName name="Number_of_Skill_Groups_PG">' Finesse Desktop BW'!$B$39</definedName>
    <definedName name="Number_of_Supervisors" localSheetId="2">' Finesse Desktop BW'!$B$10</definedName>
    <definedName name="Number_of_Supervisors" localSheetId="1">'Bandwidth Calculator'!$B$11</definedName>
    <definedName name="Number_of_Supervisors_v10" localSheetId="1">'Bandwidth Calculator'!$B$11</definedName>
    <definedName name="Number_of_Supervisors_v10">' Finesse Desktop BW'!$B$10</definedName>
    <definedName name="Number_of_Supervisors_v5x" localSheetId="2">#REF!</definedName>
    <definedName name="Number_of_Supervisors_v5x" localSheetId="1">#REF!</definedName>
    <definedName name="Number_of_Supervisors_v5x" localSheetId="5">#REF!</definedName>
    <definedName name="Number_of_Supervisors_v5x" localSheetId="4">#REF!</definedName>
    <definedName name="Number_of_Supervisors_v5x" localSheetId="0">#REF!</definedName>
    <definedName name="Number_of_Supervisors_v5x" localSheetId="8">#REF!</definedName>
    <definedName name="Number_of_Supervisors_v5x">#REF!</definedName>
    <definedName name="Number_of_Supervisors_v60" localSheetId="2">#REF!</definedName>
    <definedName name="Number_of_Supervisors_v60" localSheetId="1">#REF!</definedName>
    <definedName name="Number_of_Supervisors_v60" localSheetId="5">#REF!</definedName>
    <definedName name="Number_of_Supervisors_v60" localSheetId="4">#REF!</definedName>
    <definedName name="Number_of_Supervisors_v60" localSheetId="0">#REF!</definedName>
    <definedName name="Number_of_Supervisors_v60" localSheetId="8">#REF!</definedName>
    <definedName name="Number_of_Supervisors_v60">#REF!</definedName>
    <definedName name="Number_of_Supervisors_v70" localSheetId="2">#REF!</definedName>
    <definedName name="Number_of_Supervisors_v70" localSheetId="1">#REF!</definedName>
    <definedName name="Number_of_Supervisors_v70" localSheetId="5">#REF!</definedName>
    <definedName name="Number_of_Supervisors_v70" localSheetId="4">#REF!</definedName>
    <definedName name="Number_of_Supervisors_v70" localSheetId="0">#REF!</definedName>
    <definedName name="Number_of_Supervisors_v70" localSheetId="8">#REF!</definedName>
    <definedName name="Number_of_Supervisors_v70">#REF!</definedName>
    <definedName name="Number_of_Supervisors_v711" localSheetId="2">#REF!</definedName>
    <definedName name="Number_of_Supervisors_v711" localSheetId="1">#REF!</definedName>
    <definedName name="Number_of_Supervisors_v711" localSheetId="5">#REF!</definedName>
    <definedName name="Number_of_Supervisors_v711" localSheetId="4">#REF!</definedName>
    <definedName name="Number_of_Supervisors_v711" localSheetId="0">#REF!</definedName>
    <definedName name="Number_of_Supervisors_v711" localSheetId="8">#REF!</definedName>
    <definedName name="Number_of_Supervisors_v711">#REF!</definedName>
    <definedName name="Number_of_Supervisors_v721" localSheetId="2">#REF!</definedName>
    <definedName name="Number_of_Supervisors_v721" localSheetId="1">#REF!</definedName>
    <definedName name="Number_of_Supervisors_v721" localSheetId="5">#REF!</definedName>
    <definedName name="Number_of_Supervisors_v721" localSheetId="4">#REF!</definedName>
    <definedName name="Number_of_Supervisors_v721" localSheetId="0">#REF!</definedName>
    <definedName name="Number_of_Supervisors_v721" localSheetId="8">#REF!</definedName>
    <definedName name="Number_of_Supervisors_v721">#REF!</definedName>
    <definedName name="Number_of_Supervisors_v751" localSheetId="2">#REF!</definedName>
    <definedName name="Number_of_Supervisors_v751" localSheetId="1">#REF!</definedName>
    <definedName name="Number_of_Supervisors_v751" localSheetId="5">#REF!</definedName>
    <definedName name="Number_of_Supervisors_v751" localSheetId="4">#REF!</definedName>
    <definedName name="Number_of_Supervisors_v751" localSheetId="0">#REF!</definedName>
    <definedName name="Number_of_Supervisors_v751" localSheetId="8">#REF!</definedName>
    <definedName name="Number_of_Supervisors_v751">#REF!</definedName>
    <definedName name="Number_of_Supervisors_v901" localSheetId="2">' Finesse Desktop BW'!$B$10</definedName>
    <definedName name="Number_of_Supervisors_v901" localSheetId="1">'Bandwidth Calculator'!$B$11</definedName>
    <definedName name="Number_of_Supervisors_v901" localSheetId="5">#REF!</definedName>
    <definedName name="Number_of_Supervisors_v901" localSheetId="4">#REF!</definedName>
    <definedName name="Number_of_Supervisors_v901" localSheetId="0">#REF!</definedName>
    <definedName name="Number_of_Supervisors_v901" localSheetId="8">#REF!</definedName>
    <definedName name="Number_of_Supervisors_v901">#REF!</definedName>
    <definedName name="Percentage_Calls_Silently_Monitored" localSheetId="2">' Finesse Desktop BW'!$B$26</definedName>
    <definedName name="Percentage_Calls_Silently_Monitored" localSheetId="1">'Bandwidth Calculator'!$B$26</definedName>
    <definedName name="Percentage_Calls_Silently_Monitored" localSheetId="5">#REF!</definedName>
    <definedName name="Percentage_Calls_Silently_Monitored" localSheetId="4">#REF!</definedName>
    <definedName name="Percentage_Calls_Silently_Monitored" localSheetId="0">#REF!</definedName>
    <definedName name="Percentage_Calls_Silently_Monitored" localSheetId="8">#REF!</definedName>
    <definedName name="Percentage_Calls_Silently_Monitored">#REF!</definedName>
    <definedName name="Percentage_of_BargedCalls" localSheetId="1">'Bandwidth Calculator'!$B$27</definedName>
    <definedName name="Percentage_of_BargedCalls" localSheetId="5">'[1]Finesse 11.6'!$B$27</definedName>
    <definedName name="Percentage_of_BargedCalls">' Finesse Desktop BW'!$B$27</definedName>
    <definedName name="Percentage_of_Calls_that_are_silently_monitored" localSheetId="2">' Finesse Desktop BW'!$B$26</definedName>
    <definedName name="Percentage_of_Calls_that_are_silently_monitored" localSheetId="1">'Bandwidth Calculator'!$B$26</definedName>
    <definedName name="Percentage_of_Consultative_Conference_Calls" localSheetId="2">' Finesse Desktop BW'!$B$24</definedName>
    <definedName name="Percentage_of_Consultative_Conference_Calls" localSheetId="1">'Bandwidth Calculator'!$B$24</definedName>
    <definedName name="Percentage_of_Consultative_Conference_Calls_v5x" localSheetId="2">#REF!</definedName>
    <definedName name="Percentage_of_Consultative_Conference_Calls_v5x" localSheetId="1">#REF!</definedName>
    <definedName name="Percentage_of_Consultative_Conference_Calls_v5x" localSheetId="5">#REF!</definedName>
    <definedName name="Percentage_of_Consultative_Conference_Calls_v5x" localSheetId="4">#REF!</definedName>
    <definedName name="Percentage_of_Consultative_Conference_Calls_v5x" localSheetId="0">#REF!</definedName>
    <definedName name="Percentage_of_Consultative_Conference_Calls_v5x" localSheetId="8">#REF!</definedName>
    <definedName name="Percentage_of_Consultative_Conference_Calls_v5x">#REF!</definedName>
    <definedName name="Percentage_of_Consultative_Conference_Calls_v60" localSheetId="2">#REF!</definedName>
    <definedName name="Percentage_of_Consultative_Conference_Calls_v60" localSheetId="1">#REF!</definedName>
    <definedName name="Percentage_of_Consultative_Conference_Calls_v60" localSheetId="5">#REF!</definedName>
    <definedName name="Percentage_of_Consultative_Conference_Calls_v60" localSheetId="4">#REF!</definedName>
    <definedName name="Percentage_of_Consultative_Conference_Calls_v60" localSheetId="0">#REF!</definedName>
    <definedName name="Percentage_of_Consultative_Conference_Calls_v60" localSheetId="8">#REF!</definedName>
    <definedName name="Percentage_of_Consultative_Conference_Calls_v60">#REF!</definedName>
    <definedName name="Percentage_of_Consultative_Conference_Calls_v70" localSheetId="2">#REF!</definedName>
    <definedName name="Percentage_of_Consultative_Conference_Calls_v70" localSheetId="1">#REF!</definedName>
    <definedName name="Percentage_of_Consultative_Conference_Calls_v70" localSheetId="5">#REF!</definedName>
    <definedName name="Percentage_of_Consultative_Conference_Calls_v70" localSheetId="4">#REF!</definedName>
    <definedName name="Percentage_of_Consultative_Conference_Calls_v70" localSheetId="0">#REF!</definedName>
    <definedName name="Percentage_of_Consultative_Conference_Calls_v70" localSheetId="8">#REF!</definedName>
    <definedName name="Percentage_of_Consultative_Conference_Calls_v70">#REF!</definedName>
    <definedName name="Percentage_of_Consultative_Conference_Calls_v711" localSheetId="2">#REF!</definedName>
    <definedName name="Percentage_of_Consultative_Conference_Calls_v711" localSheetId="1">#REF!</definedName>
    <definedName name="Percentage_of_Consultative_Conference_Calls_v711" localSheetId="5">#REF!</definedName>
    <definedName name="Percentage_of_Consultative_Conference_Calls_v711" localSheetId="4">#REF!</definedName>
    <definedName name="Percentage_of_Consultative_Conference_Calls_v711" localSheetId="0">#REF!</definedName>
    <definedName name="Percentage_of_Consultative_Conference_Calls_v711" localSheetId="8">#REF!</definedName>
    <definedName name="Percentage_of_Consultative_Conference_Calls_v711">#REF!</definedName>
    <definedName name="Percentage_of_Consultative_Conference_Calls_v721" localSheetId="2">#REF!</definedName>
    <definedName name="Percentage_of_Consultative_Conference_Calls_v721" localSheetId="1">#REF!</definedName>
    <definedName name="Percentage_of_Consultative_Conference_Calls_v721" localSheetId="5">#REF!</definedName>
    <definedName name="Percentage_of_Consultative_Conference_Calls_v721" localSheetId="4">#REF!</definedName>
    <definedName name="Percentage_of_Consultative_Conference_Calls_v721" localSheetId="0">#REF!</definedName>
    <definedName name="Percentage_of_Consultative_Conference_Calls_v721" localSheetId="8">#REF!</definedName>
    <definedName name="Percentage_of_Consultative_Conference_Calls_v721">#REF!</definedName>
    <definedName name="Percentage_of_Consultative_Conference_Calls_v751" localSheetId="2">#REF!</definedName>
    <definedName name="Percentage_of_Consultative_Conference_Calls_v751" localSheetId="1">#REF!</definedName>
    <definedName name="Percentage_of_Consultative_Conference_Calls_v751" localSheetId="5">#REF!</definedName>
    <definedName name="Percentage_of_Consultative_Conference_Calls_v751" localSheetId="4">#REF!</definedName>
    <definedName name="Percentage_of_Consultative_Conference_Calls_v751" localSheetId="0">#REF!</definedName>
    <definedName name="Percentage_of_Consultative_Conference_Calls_v751" localSheetId="8">#REF!</definedName>
    <definedName name="Percentage_of_Consultative_Conference_Calls_v751">#REF!</definedName>
    <definedName name="Percentage_of_Consultative_Conference_Calls_v901" localSheetId="2">' Finesse Desktop BW'!$B$24</definedName>
    <definedName name="Percentage_of_Consultative_Conference_Calls_v901" localSheetId="1">'Bandwidth Calculator'!$B$24</definedName>
    <definedName name="Percentage_of_Consultative_Conference_Calls_v901" localSheetId="5">#REF!</definedName>
    <definedName name="Percentage_of_Consultative_Conference_Calls_v901" localSheetId="4">#REF!</definedName>
    <definedName name="Percentage_of_Consultative_Conference_Calls_v901" localSheetId="0">#REF!</definedName>
    <definedName name="Percentage_of_Consultative_Conference_Calls_v901" localSheetId="8">#REF!</definedName>
    <definedName name="Percentage_of_Consultative_Conference_Calls_v901">#REF!</definedName>
    <definedName name="Percentage_of_Consultative_Transfer_Calls" localSheetId="2">' Finesse Desktop BW'!$B$22</definedName>
    <definedName name="Percentage_of_Consultative_Transfer_Calls" localSheetId="1">'Bandwidth Calculator'!$B$22</definedName>
    <definedName name="Percentage_of_Consultative_Transfer_Calls_v5x" localSheetId="2">#REF!</definedName>
    <definedName name="Percentage_of_Consultative_Transfer_Calls_v5x" localSheetId="1">#REF!</definedName>
    <definedName name="Percentage_of_Consultative_Transfer_Calls_v5x" localSheetId="5">#REF!</definedName>
    <definedName name="Percentage_of_Consultative_Transfer_Calls_v5x" localSheetId="4">#REF!</definedName>
    <definedName name="Percentage_of_Consultative_Transfer_Calls_v5x" localSheetId="0">#REF!</definedName>
    <definedName name="Percentage_of_Consultative_Transfer_Calls_v5x" localSheetId="8">#REF!</definedName>
    <definedName name="Percentage_of_Consultative_Transfer_Calls_v5x">#REF!</definedName>
    <definedName name="Percentage_of_Consultative_Transfer_Calls_v60" localSheetId="2">#REF!</definedName>
    <definedName name="Percentage_of_Consultative_Transfer_Calls_v60" localSheetId="1">#REF!</definedName>
    <definedName name="Percentage_of_Consultative_Transfer_Calls_v60" localSheetId="5">#REF!</definedName>
    <definedName name="Percentage_of_Consultative_Transfer_Calls_v60" localSheetId="4">#REF!</definedName>
    <definedName name="Percentage_of_Consultative_Transfer_Calls_v60" localSheetId="0">#REF!</definedName>
    <definedName name="Percentage_of_Consultative_Transfer_Calls_v60" localSheetId="8">#REF!</definedName>
    <definedName name="Percentage_of_Consultative_Transfer_Calls_v60">#REF!</definedName>
    <definedName name="Percentage_of_Consultative_Transfer_Calls_v70" localSheetId="2">#REF!</definedName>
    <definedName name="Percentage_of_Consultative_Transfer_Calls_v70" localSheetId="1">#REF!</definedName>
    <definedName name="Percentage_of_Consultative_Transfer_Calls_v70" localSheetId="5">#REF!</definedName>
    <definedName name="Percentage_of_Consultative_Transfer_Calls_v70" localSheetId="4">#REF!</definedName>
    <definedName name="Percentage_of_Consultative_Transfer_Calls_v70" localSheetId="0">#REF!</definedName>
    <definedName name="Percentage_of_Consultative_Transfer_Calls_v70" localSheetId="8">#REF!</definedName>
    <definedName name="Percentage_of_Consultative_Transfer_Calls_v70">#REF!</definedName>
    <definedName name="Percentage_of_Consultative_Transfer_Calls_v711" localSheetId="2">#REF!</definedName>
    <definedName name="Percentage_of_Consultative_Transfer_Calls_v711" localSheetId="1">#REF!</definedName>
    <definedName name="Percentage_of_Consultative_Transfer_Calls_v711" localSheetId="5">#REF!</definedName>
    <definedName name="Percentage_of_Consultative_Transfer_Calls_v711" localSheetId="4">#REF!</definedName>
    <definedName name="Percentage_of_Consultative_Transfer_Calls_v711" localSheetId="0">#REF!</definedName>
    <definedName name="Percentage_of_Consultative_Transfer_Calls_v711" localSheetId="8">#REF!</definedName>
    <definedName name="Percentage_of_Consultative_Transfer_Calls_v711">#REF!</definedName>
    <definedName name="Percentage_of_Consultative_Transfer_Calls_v721" localSheetId="2">#REF!</definedName>
    <definedName name="Percentage_of_Consultative_Transfer_Calls_v721" localSheetId="1">#REF!</definedName>
    <definedName name="Percentage_of_Consultative_Transfer_Calls_v721" localSheetId="5">#REF!</definedName>
    <definedName name="Percentage_of_Consultative_Transfer_Calls_v721" localSheetId="4">#REF!</definedName>
    <definedName name="Percentage_of_Consultative_Transfer_Calls_v721" localSheetId="0">#REF!</definedName>
    <definedName name="Percentage_of_Consultative_Transfer_Calls_v721" localSheetId="8">#REF!</definedName>
    <definedName name="Percentage_of_Consultative_Transfer_Calls_v721">#REF!</definedName>
    <definedName name="Percentage_of_Consultative_Transfer_Calls_v751" localSheetId="2">#REF!</definedName>
    <definedName name="Percentage_of_Consultative_Transfer_Calls_v751" localSheetId="1">#REF!</definedName>
    <definedName name="Percentage_of_Consultative_Transfer_Calls_v751" localSheetId="5">#REF!</definedName>
    <definedName name="Percentage_of_Consultative_Transfer_Calls_v751" localSheetId="4">#REF!</definedName>
    <definedName name="Percentage_of_Consultative_Transfer_Calls_v751" localSheetId="0">#REF!</definedName>
    <definedName name="Percentage_of_Consultative_Transfer_Calls_v751" localSheetId="8">#REF!</definedName>
    <definedName name="Percentage_of_Consultative_Transfer_Calls_v751">#REF!</definedName>
    <definedName name="Percentage_of_Consultative_Transfer_Calls_v901" localSheetId="2">' Finesse Desktop BW'!$B$22</definedName>
    <definedName name="Percentage_of_Consultative_Transfer_Calls_v901" localSheetId="1">'Bandwidth Calculator'!$B$22</definedName>
    <definedName name="Percentage_of_Consultative_Transfer_Calls_v901" localSheetId="5">#REF!</definedName>
    <definedName name="Percentage_of_Consultative_Transfer_Calls_v901" localSheetId="4">#REF!</definedName>
    <definedName name="Percentage_of_Consultative_Transfer_Calls_v901" localSheetId="0">#REF!</definedName>
    <definedName name="Percentage_of_Consultative_Transfer_Calls_v901" localSheetId="8">#REF!</definedName>
    <definedName name="Percentage_of_Consultative_Transfer_Calls_v901">#REF!</definedName>
    <definedName name="Percentage_of_Incoming_Straight_Calls" localSheetId="2">' Finesse Desktop BW'!$B$19</definedName>
    <definedName name="Percentage_of_Incoming_Straight_Calls" localSheetId="1">'Bandwidth Calculator'!$B$19</definedName>
    <definedName name="Percentage_of_Incoming_Straight_Calls_v5x" localSheetId="2">#REF!</definedName>
    <definedName name="Percentage_of_Incoming_Straight_Calls_v5x" localSheetId="1">#REF!</definedName>
    <definedName name="Percentage_of_Incoming_Straight_Calls_v5x" localSheetId="5">#REF!</definedName>
    <definedName name="Percentage_of_Incoming_Straight_Calls_v5x" localSheetId="4">#REF!</definedName>
    <definedName name="Percentage_of_Incoming_Straight_Calls_v5x" localSheetId="0">#REF!</definedName>
    <definedName name="Percentage_of_Incoming_Straight_Calls_v5x" localSheetId="8">#REF!</definedName>
    <definedName name="Percentage_of_Incoming_Straight_Calls_v5x">#REF!</definedName>
    <definedName name="Percentage_of_Incoming_Straight_Calls_v60" localSheetId="2">#REF!</definedName>
    <definedName name="Percentage_of_Incoming_Straight_Calls_v60" localSheetId="1">#REF!</definedName>
    <definedName name="Percentage_of_Incoming_Straight_Calls_v60" localSheetId="5">#REF!</definedName>
    <definedName name="Percentage_of_Incoming_Straight_Calls_v60" localSheetId="4">#REF!</definedName>
    <definedName name="Percentage_of_Incoming_Straight_Calls_v60" localSheetId="0">#REF!</definedName>
    <definedName name="Percentage_of_Incoming_Straight_Calls_v60" localSheetId="8">#REF!</definedName>
    <definedName name="Percentage_of_Incoming_Straight_Calls_v60">#REF!</definedName>
    <definedName name="Percentage_of_Incoming_Straight_Calls_v70" localSheetId="2">#REF!</definedName>
    <definedName name="Percentage_of_Incoming_Straight_Calls_v70" localSheetId="1">#REF!</definedName>
    <definedName name="Percentage_of_Incoming_Straight_Calls_v70" localSheetId="5">#REF!</definedName>
    <definedName name="Percentage_of_Incoming_Straight_Calls_v70" localSheetId="4">#REF!</definedName>
    <definedName name="Percentage_of_Incoming_Straight_Calls_v70" localSheetId="0">#REF!</definedName>
    <definedName name="Percentage_of_Incoming_Straight_Calls_v70" localSheetId="8">#REF!</definedName>
    <definedName name="Percentage_of_Incoming_Straight_Calls_v70">#REF!</definedName>
    <definedName name="Percentage_of_Incoming_Straight_Calls_v711" localSheetId="2">#REF!</definedName>
    <definedName name="Percentage_of_Incoming_Straight_Calls_v711" localSheetId="1">#REF!</definedName>
    <definedName name="Percentage_of_Incoming_Straight_Calls_v711" localSheetId="5">#REF!</definedName>
    <definedName name="Percentage_of_Incoming_Straight_Calls_v711" localSheetId="4">#REF!</definedName>
    <definedName name="Percentage_of_Incoming_Straight_Calls_v711" localSheetId="0">#REF!</definedName>
    <definedName name="Percentage_of_Incoming_Straight_Calls_v711" localSheetId="8">#REF!</definedName>
    <definedName name="Percentage_of_Incoming_Straight_Calls_v711">#REF!</definedName>
    <definedName name="Percentage_of_Incoming_Straight_Calls_v721" localSheetId="2">#REF!</definedName>
    <definedName name="Percentage_of_Incoming_Straight_Calls_v721" localSheetId="1">#REF!</definedName>
    <definedName name="Percentage_of_Incoming_Straight_Calls_v721" localSheetId="5">#REF!</definedName>
    <definedName name="Percentage_of_Incoming_Straight_Calls_v721" localSheetId="4">#REF!</definedName>
    <definedName name="Percentage_of_Incoming_Straight_Calls_v721" localSheetId="0">#REF!</definedName>
    <definedName name="Percentage_of_Incoming_Straight_Calls_v721" localSheetId="8">#REF!</definedName>
    <definedName name="Percentage_of_Incoming_Straight_Calls_v721">#REF!</definedName>
    <definedName name="Percentage_of_Incoming_Straight_Calls_v751" localSheetId="2">#REF!</definedName>
    <definedName name="Percentage_of_Incoming_Straight_Calls_v751" localSheetId="1">#REF!</definedName>
    <definedName name="Percentage_of_Incoming_Straight_Calls_v751" localSheetId="5">#REF!</definedName>
    <definedName name="Percentage_of_Incoming_Straight_Calls_v751" localSheetId="4">#REF!</definedName>
    <definedName name="Percentage_of_Incoming_Straight_Calls_v751" localSheetId="0">#REF!</definedName>
    <definedName name="Percentage_of_Incoming_Straight_Calls_v751" localSheetId="8">#REF!</definedName>
    <definedName name="Percentage_of_Incoming_Straight_Calls_v751">#REF!</definedName>
    <definedName name="Percentage_of_Incoming_Straight_Calls_v901" localSheetId="2">' Finesse Desktop BW'!$B$19</definedName>
    <definedName name="Percentage_of_Incoming_Straight_Calls_v901" localSheetId="1">'Bandwidth Calculator'!$B$19</definedName>
    <definedName name="Percentage_of_Incoming_Straight_Calls_v901" localSheetId="5">#REF!</definedName>
    <definedName name="Percentage_of_Incoming_Straight_Calls_v901" localSheetId="4">#REF!</definedName>
    <definedName name="Percentage_of_Incoming_Straight_Calls_v901" localSheetId="0">#REF!</definedName>
    <definedName name="Percentage_of_Incoming_Straight_Calls_v901" localSheetId="8">#REF!</definedName>
    <definedName name="Percentage_of_Incoming_Straight_Calls_v901">#REF!</definedName>
    <definedName name="Percentage_of_InterceptedCalls" localSheetId="1">'Bandwidth Calculator'!$B$28</definedName>
    <definedName name="Percentage_of_InterceptedCalls" localSheetId="5">'[1]Finesse 11.6'!$B$28</definedName>
    <definedName name="Percentage_of_InterceptedCalls">' Finesse Desktop BW'!$B$28</definedName>
    <definedName name="Percentage_of_Outgoing_Straight_Calls" localSheetId="2">' Finesse Desktop BW'!$B$20</definedName>
    <definedName name="Percentage_of_Outgoing_Straight_Calls" localSheetId="1">'Bandwidth Calculator'!$B$20</definedName>
    <definedName name="Percentage_of_Outgoing_Straight_Calls_v5x" localSheetId="2">#REF!</definedName>
    <definedName name="Percentage_of_Outgoing_Straight_Calls_v5x" localSheetId="1">#REF!</definedName>
    <definedName name="Percentage_of_Outgoing_Straight_Calls_v5x" localSheetId="5">#REF!</definedName>
    <definedName name="Percentage_of_Outgoing_Straight_Calls_v5x" localSheetId="4">#REF!</definedName>
    <definedName name="Percentage_of_Outgoing_Straight_Calls_v5x" localSheetId="0">#REF!</definedName>
    <definedName name="Percentage_of_Outgoing_Straight_Calls_v5x" localSheetId="8">#REF!</definedName>
    <definedName name="Percentage_of_Outgoing_Straight_Calls_v5x">#REF!</definedName>
    <definedName name="Percentage_of_Outgoing_Straight_Calls_v60" localSheetId="2">#REF!</definedName>
    <definedName name="Percentage_of_Outgoing_Straight_Calls_v60" localSheetId="1">#REF!</definedName>
    <definedName name="Percentage_of_Outgoing_Straight_Calls_v60" localSheetId="5">#REF!</definedName>
    <definedName name="Percentage_of_Outgoing_Straight_Calls_v60" localSheetId="4">#REF!</definedName>
    <definedName name="Percentage_of_Outgoing_Straight_Calls_v60" localSheetId="0">#REF!</definedName>
    <definedName name="Percentage_of_Outgoing_Straight_Calls_v60" localSheetId="8">#REF!</definedName>
    <definedName name="Percentage_of_Outgoing_Straight_Calls_v60">#REF!</definedName>
    <definedName name="Percentage_of_Outgoing_Straight_Calls_v70" localSheetId="2">#REF!</definedName>
    <definedName name="Percentage_of_Outgoing_Straight_Calls_v70" localSheetId="1">#REF!</definedName>
    <definedName name="Percentage_of_Outgoing_Straight_Calls_v70" localSheetId="5">#REF!</definedName>
    <definedName name="Percentage_of_Outgoing_Straight_Calls_v70" localSheetId="4">#REF!</definedName>
    <definedName name="Percentage_of_Outgoing_Straight_Calls_v70" localSheetId="0">#REF!</definedName>
    <definedName name="Percentage_of_Outgoing_Straight_Calls_v70" localSheetId="8">#REF!</definedName>
    <definedName name="Percentage_of_Outgoing_Straight_Calls_v70">#REF!</definedName>
    <definedName name="Percentage_of_Outgoing_Straight_Calls_v711" localSheetId="2">#REF!</definedName>
    <definedName name="Percentage_of_Outgoing_Straight_Calls_v711" localSheetId="1">#REF!</definedName>
    <definedName name="Percentage_of_Outgoing_Straight_Calls_v711" localSheetId="5">#REF!</definedName>
    <definedName name="Percentage_of_Outgoing_Straight_Calls_v711" localSheetId="4">#REF!</definedName>
    <definedName name="Percentage_of_Outgoing_Straight_Calls_v711" localSheetId="0">#REF!</definedName>
    <definedName name="Percentage_of_Outgoing_Straight_Calls_v711" localSheetId="8">#REF!</definedName>
    <definedName name="Percentage_of_Outgoing_Straight_Calls_v711">#REF!</definedName>
    <definedName name="Percentage_of_Outgoing_Straight_Calls_v721" localSheetId="2">#REF!</definedName>
    <definedName name="Percentage_of_Outgoing_Straight_Calls_v721" localSheetId="1">#REF!</definedName>
    <definedName name="Percentage_of_Outgoing_Straight_Calls_v721" localSheetId="5">#REF!</definedName>
    <definedName name="Percentage_of_Outgoing_Straight_Calls_v721" localSheetId="4">#REF!</definedName>
    <definedName name="Percentage_of_Outgoing_Straight_Calls_v721" localSheetId="0">#REF!</definedName>
    <definedName name="Percentage_of_Outgoing_Straight_Calls_v721" localSheetId="8">#REF!</definedName>
    <definedName name="Percentage_of_Outgoing_Straight_Calls_v721">#REF!</definedName>
    <definedName name="Percentage_of_Outgoing_Straight_Calls_v751" localSheetId="2">#REF!</definedName>
    <definedName name="Percentage_of_Outgoing_Straight_Calls_v751" localSheetId="1">#REF!</definedName>
    <definedName name="Percentage_of_Outgoing_Straight_Calls_v751" localSheetId="5">#REF!</definedName>
    <definedName name="Percentage_of_Outgoing_Straight_Calls_v751" localSheetId="4">#REF!</definedName>
    <definedName name="Percentage_of_Outgoing_Straight_Calls_v751" localSheetId="0">#REF!</definedName>
    <definedName name="Percentage_of_Outgoing_Straight_Calls_v751" localSheetId="8">#REF!</definedName>
    <definedName name="Percentage_of_Outgoing_Straight_Calls_v751">#REF!</definedName>
    <definedName name="Percentage_of_Outgoing_Straight_Calls_v901" localSheetId="2">' Finesse Desktop BW'!$B$20</definedName>
    <definedName name="Percentage_of_Outgoing_Straight_Calls_v901" localSheetId="1">'Bandwidth Calculator'!$B$20</definedName>
    <definedName name="Percentage_of_Outgoing_Straight_Calls_v901" localSheetId="5">#REF!</definedName>
    <definedName name="Percentage_of_Outgoing_Straight_Calls_v901" localSheetId="4">#REF!</definedName>
    <definedName name="Percentage_of_Outgoing_Straight_Calls_v901" localSheetId="0">#REF!</definedName>
    <definedName name="Percentage_of_Outgoing_Straight_Calls_v901" localSheetId="8">#REF!</definedName>
    <definedName name="Percentage_of_Outgoing_Straight_Calls_v901">#REF!</definedName>
    <definedName name="Percentage_of_Single_Step_Transfer_Calls_v5x" localSheetId="2">#REF!</definedName>
    <definedName name="Percentage_of_Single_Step_Transfer_Calls_v5x" localSheetId="1">#REF!</definedName>
    <definedName name="Percentage_of_Single_Step_Transfer_Calls_v5x" localSheetId="5">#REF!</definedName>
    <definedName name="Percentage_of_Single_Step_Transfer_Calls_v5x" localSheetId="4">#REF!</definedName>
    <definedName name="Percentage_of_Single_Step_Transfer_Calls_v5x" localSheetId="0">#REF!</definedName>
    <definedName name="Percentage_of_Single_Step_Transfer_Calls_v5x" localSheetId="8">#REF!</definedName>
    <definedName name="Percentage_of_Single_Step_Transfer_Calls_v5x">#REF!</definedName>
    <definedName name="Percentage_of_Single_Step_Transfer_Calls_v60" localSheetId="2">#REF!</definedName>
    <definedName name="Percentage_of_Single_Step_Transfer_Calls_v60" localSheetId="1">#REF!</definedName>
    <definedName name="Percentage_of_Single_Step_Transfer_Calls_v60" localSheetId="5">#REF!</definedName>
    <definedName name="Percentage_of_Single_Step_Transfer_Calls_v60" localSheetId="4">#REF!</definedName>
    <definedName name="Percentage_of_Single_Step_Transfer_Calls_v60" localSheetId="0">#REF!</definedName>
    <definedName name="Percentage_of_Single_Step_Transfer_Calls_v60" localSheetId="8">#REF!</definedName>
    <definedName name="Percentage_of_Single_Step_Transfer_Calls_v60">#REF!</definedName>
    <definedName name="Percentage_of_Single_Step_Transfer_Calls_v70" localSheetId="2">#REF!</definedName>
    <definedName name="Percentage_of_Single_Step_Transfer_Calls_v70" localSheetId="1">#REF!</definedName>
    <definedName name="Percentage_of_Single_Step_Transfer_Calls_v70" localSheetId="5">#REF!</definedName>
    <definedName name="Percentage_of_Single_Step_Transfer_Calls_v70" localSheetId="4">#REF!</definedName>
    <definedName name="Percentage_of_Single_Step_Transfer_Calls_v70" localSheetId="0">#REF!</definedName>
    <definedName name="Percentage_of_Single_Step_Transfer_Calls_v70" localSheetId="8">#REF!</definedName>
    <definedName name="Percentage_of_Single_Step_Transfer_Calls_v70">#REF!</definedName>
    <definedName name="Percentage_of_Single_Step_Transfer_Calls_v711" localSheetId="2">#REF!</definedName>
    <definedName name="Percentage_of_Single_Step_Transfer_Calls_v711" localSheetId="1">#REF!</definedName>
    <definedName name="Percentage_of_Single_Step_Transfer_Calls_v711" localSheetId="5">#REF!</definedName>
    <definedName name="Percentage_of_Single_Step_Transfer_Calls_v711" localSheetId="4">#REF!</definedName>
    <definedName name="Percentage_of_Single_Step_Transfer_Calls_v711" localSheetId="0">#REF!</definedName>
    <definedName name="Percentage_of_Single_Step_Transfer_Calls_v711" localSheetId="8">#REF!</definedName>
    <definedName name="Percentage_of_Single_Step_Transfer_Calls_v711">#REF!</definedName>
    <definedName name="Percentage_of_Single_Step_Transfer_Calls_v721" localSheetId="2">#REF!</definedName>
    <definedName name="Percentage_of_Single_Step_Transfer_Calls_v721" localSheetId="1">#REF!</definedName>
    <definedName name="Percentage_of_Single_Step_Transfer_Calls_v721" localSheetId="5">#REF!</definedName>
    <definedName name="Percentage_of_Single_Step_Transfer_Calls_v721" localSheetId="4">#REF!</definedName>
    <definedName name="Percentage_of_Single_Step_Transfer_Calls_v721" localSheetId="0">#REF!</definedName>
    <definedName name="Percentage_of_Single_Step_Transfer_Calls_v721" localSheetId="8">#REF!</definedName>
    <definedName name="Percentage_of_Single_Step_Transfer_Calls_v721">#REF!</definedName>
    <definedName name="Percentage_of_Single_Step_Transfer_Calls_v751" localSheetId="2">#REF!</definedName>
    <definedName name="Percentage_of_Single_Step_Transfer_Calls_v751" localSheetId="1">#REF!</definedName>
    <definedName name="Percentage_of_Single_Step_Transfer_Calls_v751" localSheetId="5">#REF!</definedName>
    <definedName name="Percentage_of_Single_Step_Transfer_Calls_v751" localSheetId="4">#REF!</definedName>
    <definedName name="Percentage_of_Single_Step_Transfer_Calls_v751" localSheetId="0">#REF!</definedName>
    <definedName name="Percentage_of_Single_Step_Transfer_Calls_v751" localSheetId="8">#REF!</definedName>
    <definedName name="Percentage_of_Single_Step_Transfer_Calls_v751">#REF!</definedName>
    <definedName name="Percentage_of_Single_Step_Transfer_Calls_v801" localSheetId="2">' Finesse Desktop BW'!$B$21</definedName>
    <definedName name="Percentage_of_Single_Step_Transfer_Calls_v801" localSheetId="1">'Bandwidth Calculator'!$B$21</definedName>
    <definedName name="Percentage_of_Single_Step_Transfer_Calls_v801" localSheetId="5">#REF!</definedName>
    <definedName name="Percentage_of_Single_Step_Transfer_Calls_v801" localSheetId="4">#REF!</definedName>
    <definedName name="Percentage_of_Single_Step_Transfer_Calls_v801" localSheetId="0">#REF!</definedName>
    <definedName name="Percentage_of_Single_Step_Transfer_Calls_v801" localSheetId="8">#REF!</definedName>
    <definedName name="Percentage_of_Single_Step_Transfer_Calls_v801">#REF!</definedName>
    <definedName name="Percentage_of_SingleStep_Transfer_Calls" localSheetId="1">'Bandwidth Calculator'!$B$23</definedName>
    <definedName name="Percentage_of_SingleStep_Transfer_Calls" localSheetId="5">'[1]Finesse 11.6'!$B$23</definedName>
    <definedName name="Percentage_of_SingleStep_Transfer_Calls">' Finesse Desktop BW'!$B$23</definedName>
    <definedName name="Skill_Group_Refresh_Rate" localSheetId="5">'[1]Voice BW Data'!$B$35</definedName>
    <definedName name="Skill_Group_Refresh_Rate">'Finesse BW Data'!$B$35</definedName>
    <definedName name="Skill_Group_Refresh_Rate_v91">'Finesse BW Data'!$D$35</definedName>
    <definedName name="Skill_Group_Update_Interval_v5x" localSheetId="2">#REF!</definedName>
    <definedName name="Skill_Group_Update_Interval_v5x" localSheetId="1">#REF!</definedName>
    <definedName name="Skill_Group_Update_Interval_v5x" localSheetId="5">#REF!</definedName>
    <definedName name="Skill_Group_Update_Interval_v5x" localSheetId="4">#REF!</definedName>
    <definedName name="Skill_Group_Update_Interval_v5x" localSheetId="0">#REF!</definedName>
    <definedName name="Skill_Group_Update_Interval_v5x" localSheetId="8">#REF!</definedName>
    <definedName name="Skill_Group_Update_Interval_v5x">#REF!</definedName>
    <definedName name="Skill_Group_Update_Interval_v60" localSheetId="2">#REF!</definedName>
    <definedName name="Skill_Group_Update_Interval_v60" localSheetId="1">#REF!</definedName>
    <definedName name="Skill_Group_Update_Interval_v60" localSheetId="5">#REF!</definedName>
    <definedName name="Skill_Group_Update_Interval_v60" localSheetId="4">#REF!</definedName>
    <definedName name="Skill_Group_Update_Interval_v60" localSheetId="0">#REF!</definedName>
    <definedName name="Skill_Group_Update_Interval_v60" localSheetId="8">#REF!</definedName>
    <definedName name="Skill_Group_Update_Interval_v60">#REF!</definedName>
    <definedName name="Skill_Group_Update_Interval_v70" localSheetId="2">#REF!</definedName>
    <definedName name="Skill_Group_Update_Interval_v70" localSheetId="1">#REF!</definedName>
    <definedName name="Skill_Group_Update_Interval_v70" localSheetId="5">#REF!</definedName>
    <definedName name="Skill_Group_Update_Interval_v70" localSheetId="4">#REF!</definedName>
    <definedName name="Skill_Group_Update_Interval_v70" localSheetId="0">#REF!</definedName>
    <definedName name="Skill_Group_Update_Interval_v70" localSheetId="8">#REF!</definedName>
    <definedName name="Skill_Group_Update_Interval_v70">#REF!</definedName>
    <definedName name="Skill_Group_Update_Interval_v711" localSheetId="2">#REF!</definedName>
    <definedName name="Skill_Group_Update_Interval_v711" localSheetId="1">#REF!</definedName>
    <definedName name="Skill_Group_Update_Interval_v711" localSheetId="5">#REF!</definedName>
    <definedName name="Skill_Group_Update_Interval_v711" localSheetId="4">#REF!</definedName>
    <definedName name="Skill_Group_Update_Interval_v711" localSheetId="0">#REF!</definedName>
    <definedName name="Skill_Group_Update_Interval_v711" localSheetId="8">#REF!</definedName>
    <definedName name="Skill_Group_Update_Interval_v711">#REF!</definedName>
    <definedName name="Skill_Group_Update_Interval_v721" localSheetId="2">#REF!</definedName>
    <definedName name="Skill_Group_Update_Interval_v721" localSheetId="1">#REF!</definedName>
    <definedName name="Skill_Group_Update_Interval_v721" localSheetId="5">#REF!</definedName>
    <definedName name="Skill_Group_Update_Interval_v721" localSheetId="4">#REF!</definedName>
    <definedName name="Skill_Group_Update_Interval_v721" localSheetId="0">#REF!</definedName>
    <definedName name="Skill_Group_Update_Interval_v721" localSheetId="8">#REF!</definedName>
    <definedName name="Skill_Group_Update_Interval_v721">#REF!</definedName>
    <definedName name="Skill_Group_Update_Interval_v751" localSheetId="2">#REF!</definedName>
    <definedName name="Skill_Group_Update_Interval_v751" localSheetId="1">#REF!</definedName>
    <definedName name="Skill_Group_Update_Interval_v751" localSheetId="5">#REF!</definedName>
    <definedName name="Skill_Group_Update_Interval_v751" localSheetId="4">#REF!</definedName>
    <definedName name="Skill_Group_Update_Interval_v751" localSheetId="0">#REF!</definedName>
    <definedName name="Skill_Group_Update_Interval_v751" localSheetId="8">#REF!</definedName>
    <definedName name="Skill_Group_Update_Interval_v751">#REF!</definedName>
    <definedName name="Skill_Group_Update_Interval_v801" localSheetId="2">' Finesse Desktop BW'!$B$35</definedName>
    <definedName name="Skill_Group_Update_Interval_v801" localSheetId="1">'Bandwidth Calculator'!$B$35</definedName>
    <definedName name="Skill_Group_Update_Interval_v801" localSheetId="5">#REF!</definedName>
    <definedName name="Skill_Group_Update_Interval_v801" localSheetId="4">#REF!</definedName>
    <definedName name="Skill_Group_Update_Interval_v801" localSheetId="0">#REF!</definedName>
    <definedName name="Skill_Group_Update_Interval_v801" localSheetId="8">#REF!</definedName>
    <definedName name="Skill_Group_Update_Interval_v801">#REF!</definedName>
    <definedName name="Sum_of_all_Call_Variable_Values" localSheetId="2">' Finesse Desktop BW'!$B$46</definedName>
    <definedName name="Sum_of_all_Call_Variable_Values" localSheetId="1">'Bandwidth Calculator'!$B$46</definedName>
    <definedName name="Sum_of_all_Call_Variable_Values_v5x" localSheetId="2">#REF!</definedName>
    <definedName name="Sum_of_all_Call_Variable_Values_v5x" localSheetId="1">#REF!</definedName>
    <definedName name="Sum_of_all_Call_Variable_Values_v5x" localSheetId="5">#REF!</definedName>
    <definedName name="Sum_of_all_Call_Variable_Values_v5x" localSheetId="4">#REF!</definedName>
    <definedName name="Sum_of_all_Call_Variable_Values_v5x" localSheetId="0">#REF!</definedName>
    <definedName name="Sum_of_all_Call_Variable_Values_v5x" localSheetId="8">#REF!</definedName>
    <definedName name="Sum_of_all_Call_Variable_Values_v5x">#REF!</definedName>
    <definedName name="Sum_of_all_Call_Variable_Values_v60" localSheetId="2">#REF!</definedName>
    <definedName name="Sum_of_all_Call_Variable_Values_v60" localSheetId="1">#REF!</definedName>
    <definedName name="Sum_of_all_Call_Variable_Values_v60" localSheetId="5">#REF!</definedName>
    <definedName name="Sum_of_all_Call_Variable_Values_v60" localSheetId="4">#REF!</definedName>
    <definedName name="Sum_of_all_Call_Variable_Values_v60" localSheetId="0">#REF!</definedName>
    <definedName name="Sum_of_all_Call_Variable_Values_v60" localSheetId="8">#REF!</definedName>
    <definedName name="Sum_of_all_Call_Variable_Values_v60">#REF!</definedName>
    <definedName name="Sum_of_all_Call_Variable_Values_v70" localSheetId="2">#REF!</definedName>
    <definedName name="Sum_of_all_Call_Variable_Values_v70" localSheetId="1">#REF!</definedName>
    <definedName name="Sum_of_all_Call_Variable_Values_v70" localSheetId="5">#REF!</definedName>
    <definedName name="Sum_of_all_Call_Variable_Values_v70" localSheetId="4">#REF!</definedName>
    <definedName name="Sum_of_all_Call_Variable_Values_v70" localSheetId="0">#REF!</definedName>
    <definedName name="Sum_of_all_Call_Variable_Values_v70" localSheetId="8">#REF!</definedName>
    <definedName name="Sum_of_all_Call_Variable_Values_v70">#REF!</definedName>
    <definedName name="Sum_of_all_Call_Variable_Values_v711" localSheetId="2">#REF!</definedName>
    <definedName name="Sum_of_all_Call_Variable_Values_v711" localSheetId="1">#REF!</definedName>
    <definedName name="Sum_of_all_Call_Variable_Values_v711" localSheetId="5">#REF!</definedName>
    <definedName name="Sum_of_all_Call_Variable_Values_v711" localSheetId="4">#REF!</definedName>
    <definedName name="Sum_of_all_Call_Variable_Values_v711" localSheetId="0">#REF!</definedName>
    <definedName name="Sum_of_all_Call_Variable_Values_v711" localSheetId="8">#REF!</definedName>
    <definedName name="Sum_of_all_Call_Variable_Values_v711">#REF!</definedName>
    <definedName name="Sum_of_all_Call_Variable_Values_v721" localSheetId="2">#REF!</definedName>
    <definedName name="Sum_of_all_Call_Variable_Values_v721" localSheetId="1">#REF!</definedName>
    <definedName name="Sum_of_all_Call_Variable_Values_v721" localSheetId="5">#REF!</definedName>
    <definedName name="Sum_of_all_Call_Variable_Values_v721" localSheetId="4">#REF!</definedName>
    <definedName name="Sum_of_all_Call_Variable_Values_v721" localSheetId="0">#REF!</definedName>
    <definedName name="Sum_of_all_Call_Variable_Values_v721" localSheetId="8">#REF!</definedName>
    <definedName name="Sum_of_all_Call_Variable_Values_v721">#REF!</definedName>
    <definedName name="Sum_of_all_Call_Variable_Values_v751" localSheetId="2">#REF!</definedName>
    <definedName name="Sum_of_all_Call_Variable_Values_v751" localSheetId="1">#REF!</definedName>
    <definedName name="Sum_of_all_Call_Variable_Values_v751" localSheetId="5">#REF!</definedName>
    <definedName name="Sum_of_all_Call_Variable_Values_v751" localSheetId="4">#REF!</definedName>
    <definedName name="Sum_of_all_Call_Variable_Values_v751" localSheetId="0">#REF!</definedName>
    <definedName name="Sum_of_all_Call_Variable_Values_v751" localSheetId="8">#REF!</definedName>
    <definedName name="Sum_of_all_Call_Variable_Values_v751">#REF!</definedName>
    <definedName name="Sum_of_all_Call_Variable_Values_v901" localSheetId="2">' Finesse Desktop BW'!$B$46</definedName>
    <definedName name="Sum_of_all_Call_Variable_Values_v901" localSheetId="1">'Bandwidth Calculator'!$B$46</definedName>
    <definedName name="Sum_of_all_Call_Variable_Values_v901" localSheetId="5">#REF!</definedName>
    <definedName name="Sum_of_all_Call_Variable_Values_v901" localSheetId="4">#REF!</definedName>
    <definedName name="Sum_of_all_Call_Variable_Values_v901" localSheetId="0">#REF!</definedName>
    <definedName name="Sum_of_all_Call_Variable_Values_v901" localSheetId="8">#REF!</definedName>
    <definedName name="Sum_of_all_Call_Variable_Values_v901">#REF!</definedName>
    <definedName name="Sum_of_all_ECC_Variable_Names" localSheetId="2">' Finesse Desktop BW'!$B$42</definedName>
    <definedName name="Sum_of_all_ECC_Variable_Names" localSheetId="1">'Bandwidth Calculator'!$B$42</definedName>
    <definedName name="Sum_of_all_ECC_Variable_Names_v5x" localSheetId="2">#REF!</definedName>
    <definedName name="Sum_of_all_ECC_Variable_Names_v5x" localSheetId="1">#REF!</definedName>
    <definedName name="Sum_of_all_ECC_Variable_Names_v5x" localSheetId="5">#REF!</definedName>
    <definedName name="Sum_of_all_ECC_Variable_Names_v5x" localSheetId="4">#REF!</definedName>
    <definedName name="Sum_of_all_ECC_Variable_Names_v5x" localSheetId="0">#REF!</definedName>
    <definedName name="Sum_of_all_ECC_Variable_Names_v5x" localSheetId="8">#REF!</definedName>
    <definedName name="Sum_of_all_ECC_Variable_Names_v5x">#REF!</definedName>
    <definedName name="Sum_of_all_ECC_Variable_Names_v60" localSheetId="2">#REF!</definedName>
    <definedName name="Sum_of_all_ECC_Variable_Names_v60" localSheetId="1">#REF!</definedName>
    <definedName name="Sum_of_all_ECC_Variable_Names_v60" localSheetId="5">#REF!</definedName>
    <definedName name="Sum_of_all_ECC_Variable_Names_v60" localSheetId="4">#REF!</definedName>
    <definedName name="Sum_of_all_ECC_Variable_Names_v60" localSheetId="0">#REF!</definedName>
    <definedName name="Sum_of_all_ECC_Variable_Names_v60" localSheetId="8">#REF!</definedName>
    <definedName name="Sum_of_all_ECC_Variable_Names_v60">#REF!</definedName>
    <definedName name="Sum_of_all_ECC_Variable_Names_v70" localSheetId="2">#REF!</definedName>
    <definedName name="Sum_of_all_ECC_Variable_Names_v70" localSheetId="1">#REF!</definedName>
    <definedName name="Sum_of_all_ECC_Variable_Names_v70" localSheetId="5">#REF!</definedName>
    <definedName name="Sum_of_all_ECC_Variable_Names_v70" localSheetId="4">#REF!</definedName>
    <definedName name="Sum_of_all_ECC_Variable_Names_v70" localSheetId="0">#REF!</definedName>
    <definedName name="Sum_of_all_ECC_Variable_Names_v70" localSheetId="8">#REF!</definedName>
    <definedName name="Sum_of_all_ECC_Variable_Names_v70">#REF!</definedName>
    <definedName name="Sum_of_all_ECC_Variable_Names_v711" localSheetId="2">#REF!</definedName>
    <definedName name="Sum_of_all_ECC_Variable_Names_v711" localSheetId="1">#REF!</definedName>
    <definedName name="Sum_of_all_ECC_Variable_Names_v711" localSheetId="5">#REF!</definedName>
    <definedName name="Sum_of_all_ECC_Variable_Names_v711" localSheetId="4">#REF!</definedName>
    <definedName name="Sum_of_all_ECC_Variable_Names_v711" localSheetId="0">#REF!</definedName>
    <definedName name="Sum_of_all_ECC_Variable_Names_v711" localSheetId="8">#REF!</definedName>
    <definedName name="Sum_of_all_ECC_Variable_Names_v711">#REF!</definedName>
    <definedName name="Sum_of_all_ECC_Variable_Names_v721" localSheetId="2">#REF!</definedName>
    <definedName name="Sum_of_all_ECC_Variable_Names_v721" localSheetId="1">#REF!</definedName>
    <definedName name="Sum_of_all_ECC_Variable_Names_v721" localSheetId="5">#REF!</definedName>
    <definedName name="Sum_of_all_ECC_Variable_Names_v721" localSheetId="4">#REF!</definedName>
    <definedName name="Sum_of_all_ECC_Variable_Names_v721" localSheetId="0">#REF!</definedName>
    <definedName name="Sum_of_all_ECC_Variable_Names_v721" localSheetId="8">#REF!</definedName>
    <definedName name="Sum_of_all_ECC_Variable_Names_v721">#REF!</definedName>
    <definedName name="Sum_of_all_ECC_Variable_Names_v751" localSheetId="2">#REF!</definedName>
    <definedName name="Sum_of_all_ECC_Variable_Names_v751" localSheetId="1">#REF!</definedName>
    <definedName name="Sum_of_all_ECC_Variable_Names_v751" localSheetId="5">#REF!</definedName>
    <definedName name="Sum_of_all_ECC_Variable_Names_v751" localSheetId="4">#REF!</definedName>
    <definedName name="Sum_of_all_ECC_Variable_Names_v751" localSheetId="0">#REF!</definedName>
    <definedName name="Sum_of_all_ECC_Variable_Names_v751" localSheetId="8">#REF!</definedName>
    <definedName name="Sum_of_all_ECC_Variable_Names_v751">#REF!</definedName>
    <definedName name="Sum_of_all_ECC_Variable_Names_v901" localSheetId="2">' Finesse Desktop BW'!$B$42</definedName>
    <definedName name="Sum_of_all_ECC_Variable_Names_v901" localSheetId="1">'Bandwidth Calculator'!$B$42</definedName>
    <definedName name="Sum_of_all_ECC_Variable_Names_v901" localSheetId="5">#REF!</definedName>
    <definedName name="Sum_of_all_ECC_Variable_Names_v901" localSheetId="4">#REF!</definedName>
    <definedName name="Sum_of_all_ECC_Variable_Names_v901" localSheetId="0">#REF!</definedName>
    <definedName name="Sum_of_all_ECC_Variable_Names_v901" localSheetId="8">#REF!</definedName>
    <definedName name="Sum_of_all_ECC_Variable_Names_v901">#REF!</definedName>
    <definedName name="Sum_of_all_ECC_Variable_Values" localSheetId="2">' Finesse Desktop BW'!$B$43</definedName>
    <definedName name="Sum_of_all_ECC_Variable_Values" localSheetId="1">'Bandwidth Calculator'!$B$43</definedName>
    <definedName name="Sum_of_all_ECC_Variable_Values_v5x" localSheetId="2">#REF!</definedName>
    <definedName name="Sum_of_all_ECC_Variable_Values_v5x" localSheetId="1">#REF!</definedName>
    <definedName name="Sum_of_all_ECC_Variable_Values_v5x" localSheetId="5">#REF!</definedName>
    <definedName name="Sum_of_all_ECC_Variable_Values_v5x" localSheetId="4">#REF!</definedName>
    <definedName name="Sum_of_all_ECC_Variable_Values_v5x" localSheetId="0">#REF!</definedName>
    <definedName name="Sum_of_all_ECC_Variable_Values_v5x" localSheetId="8">#REF!</definedName>
    <definedName name="Sum_of_all_ECC_Variable_Values_v5x">#REF!</definedName>
    <definedName name="Sum_of_all_ECC_Variable_Values_v60" localSheetId="2">#REF!</definedName>
    <definedName name="Sum_of_all_ECC_Variable_Values_v60" localSheetId="1">#REF!</definedName>
    <definedName name="Sum_of_all_ECC_Variable_Values_v60" localSheetId="5">#REF!</definedName>
    <definedName name="Sum_of_all_ECC_Variable_Values_v60" localSheetId="4">#REF!</definedName>
    <definedName name="Sum_of_all_ECC_Variable_Values_v60" localSheetId="0">#REF!</definedName>
    <definedName name="Sum_of_all_ECC_Variable_Values_v60" localSheetId="8">#REF!</definedName>
    <definedName name="Sum_of_all_ECC_Variable_Values_v60">#REF!</definedName>
    <definedName name="Sum_of_all_ECC_Variable_Values_v70" localSheetId="2">#REF!</definedName>
    <definedName name="Sum_of_all_ECC_Variable_Values_v70" localSheetId="1">#REF!</definedName>
    <definedName name="Sum_of_all_ECC_Variable_Values_v70" localSheetId="5">#REF!</definedName>
    <definedName name="Sum_of_all_ECC_Variable_Values_v70" localSheetId="4">#REF!</definedName>
    <definedName name="Sum_of_all_ECC_Variable_Values_v70" localSheetId="0">#REF!</definedName>
    <definedName name="Sum_of_all_ECC_Variable_Values_v70" localSheetId="8">#REF!</definedName>
    <definedName name="Sum_of_all_ECC_Variable_Values_v70">#REF!</definedName>
    <definedName name="Sum_of_all_ECC_Variable_Values_v711" localSheetId="2">#REF!</definedName>
    <definedName name="Sum_of_all_ECC_Variable_Values_v711" localSheetId="1">#REF!</definedName>
    <definedName name="Sum_of_all_ECC_Variable_Values_v711" localSheetId="5">#REF!</definedName>
    <definedName name="Sum_of_all_ECC_Variable_Values_v711" localSheetId="4">#REF!</definedName>
    <definedName name="Sum_of_all_ECC_Variable_Values_v711" localSheetId="0">#REF!</definedName>
    <definedName name="Sum_of_all_ECC_Variable_Values_v711" localSheetId="8">#REF!</definedName>
    <definedName name="Sum_of_all_ECC_Variable_Values_v711">#REF!</definedName>
    <definedName name="Sum_of_all_ECC_Variable_Values_v721" localSheetId="2">#REF!</definedName>
    <definedName name="Sum_of_all_ECC_Variable_Values_v721" localSheetId="1">#REF!</definedName>
    <definedName name="Sum_of_all_ECC_Variable_Values_v721" localSheetId="5">#REF!</definedName>
    <definedName name="Sum_of_all_ECC_Variable_Values_v721" localSheetId="4">#REF!</definedName>
    <definedName name="Sum_of_all_ECC_Variable_Values_v721" localSheetId="0">#REF!</definedName>
    <definedName name="Sum_of_all_ECC_Variable_Values_v721" localSheetId="8">#REF!</definedName>
    <definedName name="Sum_of_all_ECC_Variable_Values_v721">#REF!</definedName>
    <definedName name="Sum_of_all_ECC_Variable_Values_v751" localSheetId="2">#REF!</definedName>
    <definedName name="Sum_of_all_ECC_Variable_Values_v751" localSheetId="1">#REF!</definedName>
    <definedName name="Sum_of_all_ECC_Variable_Values_v751" localSheetId="5">#REF!</definedName>
    <definedName name="Sum_of_all_ECC_Variable_Values_v751" localSheetId="4">#REF!</definedName>
    <definedName name="Sum_of_all_ECC_Variable_Values_v751" localSheetId="0">#REF!</definedName>
    <definedName name="Sum_of_all_ECC_Variable_Values_v751" localSheetId="8">#REF!</definedName>
    <definedName name="Sum_of_all_ECC_Variable_Values_v751">#REF!</definedName>
    <definedName name="Sum_of_all_ECC_Variable_Values_v901" localSheetId="2">' Finesse Desktop BW'!$B$43</definedName>
    <definedName name="Sum_of_all_ECC_Variable_Values_v901" localSheetId="1">'Bandwidth Calculator'!$B$43</definedName>
    <definedName name="Sum_of_all_ECC_Variable_Values_v901" localSheetId="5">#REF!</definedName>
    <definedName name="Sum_of_all_ECC_Variable_Values_v901" localSheetId="4">#REF!</definedName>
    <definedName name="Sum_of_all_ECC_Variable_Values_v901" localSheetId="0">#REF!</definedName>
    <definedName name="Sum_of_all_ECC_Variable_Values_v901" localSheetId="8">#REF!</definedName>
    <definedName name="Sum_of_all_ECC_Variable_Values_v901">#REF!</definedName>
    <definedName name="Total" localSheetId="2">' Finesse Desktop BW'!$B$25</definedName>
    <definedName name="Total" localSheetId="1">'Bandwidth Calculator'!#REF!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5" i="26" l="1"/>
  <c r="B4" i="26"/>
  <c r="C25" i="31"/>
  <c r="B46" i="17"/>
  <c r="B45" i="17"/>
  <c r="B43" i="17"/>
  <c r="B42" i="17"/>
  <c r="B41" i="17"/>
  <c r="B31" i="17"/>
  <c r="B28" i="17"/>
  <c r="B27" i="17"/>
  <c r="B26" i="17"/>
  <c r="B24" i="17"/>
  <c r="B22" i="17"/>
  <c r="B20" i="17"/>
  <c r="B19" i="17"/>
  <c r="B15" i="17"/>
  <c r="B14" i="17"/>
  <c r="B12" i="17"/>
  <c r="B10" i="17"/>
  <c r="B9" i="17"/>
  <c r="B8" i="34" l="1"/>
  <c r="B3" i="34" l="1"/>
  <c r="B50" i="34" s="1"/>
  <c r="B7" i="34"/>
  <c r="B6" i="34"/>
  <c r="B4" i="34"/>
  <c r="B42" i="34" s="1"/>
  <c r="B13" i="34"/>
  <c r="B12" i="34"/>
  <c r="B14" i="34" s="1"/>
  <c r="B15" i="34" s="1"/>
  <c r="B11" i="22"/>
  <c r="B9" i="22"/>
  <c r="B3" i="22"/>
  <c r="B4" i="22"/>
  <c r="B10" i="22"/>
  <c r="B11" i="23"/>
  <c r="B10" i="23"/>
  <c r="B3" i="23"/>
  <c r="B5" i="23" s="1"/>
  <c r="B4" i="23"/>
  <c r="B9" i="23"/>
  <c r="B3" i="19"/>
  <c r="B4" i="19"/>
  <c r="B8" i="19"/>
  <c r="B16" i="19" s="1"/>
  <c r="B7" i="19"/>
  <c r="B14" i="19" s="1"/>
  <c r="B17" i="19" s="1"/>
  <c r="B18" i="19" s="1"/>
  <c r="B3" i="20"/>
  <c r="B4" i="20"/>
  <c r="B8" i="20"/>
  <c r="B9" i="20"/>
  <c r="B10" i="20"/>
  <c r="B34" i="20" s="1"/>
  <c r="B11" i="20"/>
  <c r="B35" i="20" s="1"/>
  <c r="B12" i="20"/>
  <c r="B13" i="20"/>
  <c r="B3" i="28"/>
  <c r="B8" i="28" s="1"/>
  <c r="E114" i="31" s="1"/>
  <c r="K3" i="26"/>
  <c r="K4" i="26"/>
  <c r="K5" i="26"/>
  <c r="K6" i="26"/>
  <c r="K7" i="26"/>
  <c r="K10" i="26"/>
  <c r="K11" i="26"/>
  <c r="K12" i="26"/>
  <c r="K13" i="26"/>
  <c r="K14" i="26"/>
  <c r="K15" i="26"/>
  <c r="K16" i="26"/>
  <c r="K17" i="26"/>
  <c r="K18" i="26"/>
  <c r="B16" i="17"/>
  <c r="B17" i="17" s="1"/>
  <c r="B61" i="17" s="1"/>
  <c r="B25" i="17"/>
  <c r="B49" i="17"/>
  <c r="B7" i="20"/>
  <c r="B6" i="20"/>
  <c r="B5" i="20"/>
  <c r="B18" i="26"/>
  <c r="B26" i="26" s="1"/>
  <c r="O41" i="34"/>
  <c r="O42" i="34"/>
  <c r="B50" i="17"/>
  <c r="B38" i="31"/>
  <c r="B15" i="22"/>
  <c r="B15" i="23"/>
  <c r="B6" i="23"/>
  <c r="B6" i="22"/>
  <c r="B59" i="17"/>
  <c r="C38" i="31"/>
  <c r="U43" i="26"/>
  <c r="B13" i="26"/>
  <c r="I4" i="26"/>
  <c r="I3" i="26"/>
  <c r="E13" i="5"/>
  <c r="E14" i="5"/>
  <c r="E15" i="5"/>
  <c r="E16" i="5"/>
  <c r="G18" i="5"/>
  <c r="G16" i="5"/>
  <c r="G14" i="5"/>
  <c r="G29" i="5"/>
  <c r="G28" i="5"/>
  <c r="G27" i="5"/>
  <c r="G26" i="5"/>
  <c r="G21" i="5"/>
  <c r="G13" i="5"/>
  <c r="G8" i="5"/>
  <c r="G7" i="5"/>
  <c r="G6" i="5"/>
  <c r="G5" i="5"/>
  <c r="F8" i="5"/>
  <c r="F7" i="5"/>
  <c r="F6" i="5"/>
  <c r="F5" i="5"/>
  <c r="E8" i="5"/>
  <c r="E7" i="5"/>
  <c r="E6" i="5"/>
  <c r="B5" i="5"/>
  <c r="D5" i="5"/>
  <c r="B6" i="5"/>
  <c r="B7" i="5"/>
  <c r="D7" i="5"/>
  <c r="B8" i="5"/>
  <c r="B38" i="17"/>
  <c r="B16" i="23" l="1"/>
  <c r="B19" i="26"/>
  <c r="B27" i="26" s="1"/>
  <c r="B28" i="26" s="1"/>
  <c r="E47" i="31" s="1"/>
  <c r="B16" i="22"/>
  <c r="B5" i="22"/>
  <c r="B7" i="22" s="1"/>
  <c r="B33" i="20"/>
  <c r="B16" i="26"/>
  <c r="B23" i="26" s="1"/>
  <c r="B22" i="19"/>
  <c r="B36" i="20"/>
  <c r="B32" i="20"/>
  <c r="B17" i="23"/>
  <c r="B17" i="26"/>
  <c r="B24" i="26" s="1"/>
  <c r="B66" i="17"/>
  <c r="B68" i="17"/>
  <c r="B67" i="17"/>
  <c r="B65" i="17"/>
  <c r="B72" i="17"/>
  <c r="B69" i="17"/>
  <c r="B70" i="17"/>
  <c r="B76" i="17"/>
  <c r="B73" i="17"/>
  <c r="B7" i="23"/>
  <c r="B22" i="23" s="1"/>
  <c r="B60" i="17"/>
  <c r="B75" i="17"/>
  <c r="B39" i="34"/>
  <c r="B34" i="19"/>
  <c r="B52" i="17"/>
  <c r="B54" i="17" s="1"/>
  <c r="E7" i="31" s="1"/>
  <c r="B51" i="34"/>
  <c r="B74" i="17"/>
  <c r="B5" i="19"/>
  <c r="B6" i="19" s="1"/>
  <c r="B16" i="34"/>
  <c r="B10" i="34"/>
  <c r="B11" i="34" s="1"/>
  <c r="B54" i="34"/>
  <c r="B51" i="17"/>
  <c r="B53" i="17" s="1"/>
  <c r="E6" i="31" s="1"/>
  <c r="B62" i="17"/>
  <c r="B77" i="17"/>
  <c r="B71" i="17"/>
  <c r="B40" i="34"/>
  <c r="B17" i="22"/>
  <c r="B56" i="34"/>
  <c r="B53" i="34"/>
  <c r="B52" i="34"/>
  <c r="B63" i="17"/>
  <c r="B38" i="34"/>
  <c r="B5" i="34"/>
  <c r="B55" i="34" s="1"/>
  <c r="B22" i="22" l="1"/>
  <c r="B8" i="22"/>
  <c r="B21" i="22" s="1"/>
  <c r="B23" i="22" s="1"/>
  <c r="E84" i="31" s="1"/>
  <c r="B37" i="20"/>
  <c r="E100" i="31" s="1"/>
  <c r="B57" i="34"/>
  <c r="B76" i="34" s="1"/>
  <c r="B30" i="26"/>
  <c r="B29" i="26"/>
  <c r="B25" i="26"/>
  <c r="E48" i="31" s="1"/>
  <c r="B41" i="34"/>
  <c r="B8" i="23"/>
  <c r="B21" i="23" s="1"/>
  <c r="B23" i="23"/>
  <c r="E92" i="31" s="1"/>
  <c r="B43" i="34"/>
  <c r="B78" i="17"/>
  <c r="B23" i="19"/>
  <c r="B28" i="19" s="1"/>
  <c r="B29" i="19" s="1"/>
  <c r="E77" i="31" s="1"/>
  <c r="B79" i="17"/>
  <c r="B82" i="17" s="1"/>
  <c r="B44" i="34" l="1"/>
  <c r="B68" i="34" s="1"/>
  <c r="B74" i="34"/>
  <c r="B58" i="34"/>
  <c r="B67" i="34"/>
  <c r="B65" i="34"/>
  <c r="B80" i="17"/>
  <c r="B81" i="17"/>
  <c r="B66" i="34" l="1"/>
  <c r="B69" i="34" s="1"/>
  <c r="E66" i="31" s="1"/>
  <c r="B75" i="34"/>
  <c r="B77" i="34"/>
  <c r="D62" i="17"/>
  <c r="D79" i="17"/>
  <c r="D69" i="17"/>
  <c r="D76" i="17"/>
  <c r="D75" i="17"/>
  <c r="E14" i="31"/>
  <c r="D63" i="17"/>
  <c r="D59" i="17"/>
  <c r="D65" i="17"/>
  <c r="D78" i="17"/>
  <c r="D67" i="17"/>
  <c r="D70" i="17"/>
  <c r="D73" i="17"/>
  <c r="D74" i="17"/>
  <c r="D61" i="17"/>
  <c r="D71" i="17"/>
  <c r="D68" i="17"/>
  <c r="D60" i="17"/>
  <c r="D72" i="17"/>
  <c r="D77" i="17"/>
  <c r="D66" i="17"/>
  <c r="B78" i="34" l="1"/>
  <c r="E67" i="31" s="1"/>
  <c r="E4" i="31" s="1"/>
  <c r="E3" i="31"/>
  <c r="D80" i="17"/>
</calcChain>
</file>

<file path=xl/sharedStrings.xml><?xml version="1.0" encoding="utf-8"?>
<sst xmlns="http://schemas.openxmlformats.org/spreadsheetml/2006/main" count="952" uniqueCount="474">
  <si>
    <t>Message Header + TCP Overhead</t>
  </si>
  <si>
    <t>Number of Agents</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</si>
  <si>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</si>
  <si>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</si>
  <si>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</si>
  <si>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</si>
  <si>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</si>
  <si>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</si>
  <si>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</si>
  <si>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</si>
  <si>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</si>
  <si>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</si>
  <si>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</si>
  <si>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</si>
  <si>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</si>
  <si>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</si>
  <si>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</si>
  <si>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</si>
  <si>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</si>
  <si>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</si>
  <si>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</si>
  <si>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</si>
  <si>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</si>
  <si>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</si>
  <si>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</si>
  <si>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</si>
  <si>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</si>
  <si>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</si>
  <si>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</si>
  <si>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</si>
  <si>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</si>
  <si>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</si>
  <si>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</si>
  <si>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</si>
  <si>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</si>
  <si>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</si>
  <si>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</si>
  <si>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</si>
  <si>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</si>
  <si>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</si>
  <si>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</si>
  <si>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</si>
  <si>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</si>
  <si>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</si>
  <si>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</si>
  <si>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</si>
  <si>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</si>
  <si>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</si>
  <si>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</si>
  <si>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</si>
  <si>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</si>
  <si>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</si>
  <si>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</si>
  <si>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</si>
  <si>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</si>
  <si>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</si>
  <si>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</si>
  <si>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</si>
  <si>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</si>
  <si>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</si>
  <si>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</si>
  <si>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</si>
  <si>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</si>
  <si>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</si>
  <si>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</si>
  <si>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</si>
  <si>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</si>
  <si>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</si>
  <si>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0 &lt;= "Sum of all Call Variable Values" &lt;= 400
Maximum length is 40 chars per variable</t>
  </si>
  <si>
    <t>(N/A for Finesse) Number of All Agents Monitors</t>
  </si>
  <si>
    <t>(N/A for Finesse) Percentage of Single Step Transfer Calls</t>
  </si>
  <si>
    <t>Finesse Bandwidth Calculator</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</si>
  <si>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</si>
  <si>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</si>
  <si>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</si>
  <si>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</si>
  <si>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</si>
  <si>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</si>
  <si>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</si>
  <si>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Average number of agents per Team</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</si>
  <si>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</si>
  <si>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</si>
  <si>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</si>
  <si>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</si>
  <si>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</si>
  <si>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</si>
  <si>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</si>
  <si>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</si>
  <si>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</si>
  <si>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</si>
  <si>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</si>
  <si>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</si>
  <si>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</si>
  <si>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</si>
  <si>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</si>
  <si>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</si>
  <si>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</si>
  <si>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</si>
  <si>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</si>
  <si>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</si>
  <si>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</si>
  <si>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</si>
  <si>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</si>
  <si>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</si>
  <si>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</si>
  <si>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</si>
  <si>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</si>
  <si>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</si>
  <si>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</si>
  <si>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</si>
  <si>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</si>
  <si>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</si>
  <si>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</si>
  <si>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</si>
  <si>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0 Default, 50 agents per team maximum</t>
  </si>
  <si>
    <t>Login</t>
  </si>
  <si>
    <t>Agent Login - No Caching</t>
  </si>
  <si>
    <t>Agent Login - Caching</t>
  </si>
  <si>
    <t>Supervisor Login - No Caching</t>
  </si>
  <si>
    <t>Supervisor Login - Caching</t>
  </si>
  <si>
    <t>minute(s)</t>
  </si>
  <si>
    <t>Maximum Login Time for all users</t>
  </si>
  <si>
    <t>Agent Login Bandwidth - No Caching</t>
  </si>
  <si>
    <t>Agent Login Bandwidth - Caching</t>
  </si>
  <si>
    <t>Supervisor Login Bandwidth - No Caching</t>
  </si>
  <si>
    <t>Supervisor Login Bandwidth - Caching</t>
  </si>
  <si>
    <t>Total Bandwidth - Caching</t>
  </si>
  <si>
    <t>Total Bandwidth - No Caching</t>
  </si>
  <si>
    <t>1. Enter the appropriate values in the yellow boxes to characterize the Call Center to be evaluated.</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</si>
  <si>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</si>
  <si>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Bytes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</si>
  <si>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</si>
  <si>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</si>
  <si>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</si>
  <si>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</si>
  <si>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</si>
  <si>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</si>
  <si>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</si>
  <si>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</si>
  <si>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Client to Finesse Server Login Bandwidth</t>
  </si>
  <si>
    <t>Post-Login Client to Server  Bandwidth</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</si>
  <si>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</si>
  <si>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</si>
  <si>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</si>
  <si>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</si>
  <si>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</si>
  <si>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</si>
  <si>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</si>
  <si>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</si>
  <si>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</si>
  <si>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</si>
  <si>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</si>
  <si>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Single Step Transfer Bandwidth</t>
  </si>
  <si>
    <t>400 maximum</t>
  </si>
  <si>
    <t>The total amount of time it should take for all agents to log into the Finesse server including Finesse failover conditions.  If the deployment includes 300 agents and this value is set to 5 minutes, all 300 agents should be able to point their browser to Finesse and complete the login sequence within 5 minutes.</t>
  </si>
  <si>
    <t>Number of configured skill groups</t>
  </si>
  <si>
    <t>Average number of CSQ's per Supervisor</t>
  </si>
  <si>
    <t xml:space="preserve">                                 NA</t>
  </si>
  <si>
    <t xml:space="preserve">                                NA</t>
  </si>
  <si>
    <t>Value
(Non-SSO)</t>
  </si>
  <si>
    <t>3. Total Bandwidth, Agent Bandwidth and Supervisor Bandwidth (Non-SSO and SSO modes) requirements are calculated and presented at the bottom of the spreadsheet.</t>
  </si>
  <si>
    <t>11.6 - Active-Active Finesse Server to CTI Server</t>
  </si>
  <si>
    <t>NA</t>
  </si>
  <si>
    <t>11.6 - Non SSO
Client to Server</t>
  </si>
  <si>
    <t>11.6 -  SSO
Client to Server</t>
  </si>
  <si>
    <t>exchange_attachment_email_bandwidth*attachment_emails_per_hour</t>
  </si>
  <si>
    <t>exchange_basic_email_bandwidth*basic_emails_per_hour</t>
  </si>
  <si>
    <t>Bandwidth (kb)</t>
  </si>
  <si>
    <t>Flow</t>
  </si>
  <si>
    <t>attachment_percent</t>
  </si>
  <si>
    <t>kb</t>
  </si>
  <si>
    <t>exchange_attachment_email_bandwidth</t>
  </si>
  <si>
    <t>attachment_size</t>
  </si>
  <si>
    <t>exchange_basic_email_bandwidth</t>
  </si>
  <si>
    <t>Value</t>
  </si>
  <si>
    <t>Operation</t>
  </si>
  <si>
    <t>Email Flow</t>
  </si>
  <si>
    <t>attachment_email_size</t>
  </si>
  <si>
    <t>email_size</t>
  </si>
  <si>
    <t>ui_libraries</t>
  </si>
  <si>
    <t>save_draft</t>
  </si>
  <si>
    <t xml:space="preserve">kb </t>
  </si>
  <si>
    <t>sla</t>
  </si>
  <si>
    <t>save_draft_interval</t>
  </si>
  <si>
    <t>Remarks</t>
  </si>
  <si>
    <t>in minutes</t>
  </si>
  <si>
    <t>Exchange Multipliers</t>
  </si>
  <si>
    <t>fetch_exchange_multiplier</t>
  </si>
  <si>
    <t>get_email_body_exchange_multiplier</t>
  </si>
  <si>
    <t>send_reply_exchange_multiplier</t>
  </si>
  <si>
    <t>fetch_with_attachments_exchange_multiplier</t>
  </si>
  <si>
    <t>inbound_attachments_download_exchange_multiplier</t>
  </si>
  <si>
    <t>outbound_attachments_upload_exchange_multiplier</t>
  </si>
  <si>
    <t>outbound_attachments_download_exchange_multiplier</t>
  </si>
  <si>
    <t>send_reply_with_attachments_exchange_multiplier</t>
  </si>
  <si>
    <t>fetch</t>
  </si>
  <si>
    <t>get_email_body</t>
  </si>
  <si>
    <t>send_reply</t>
  </si>
  <si>
    <t>fetch_with_attachments</t>
  </si>
  <si>
    <t>send_reply_with_attachments</t>
  </si>
  <si>
    <t>inbound_attachments_download</t>
  </si>
  <si>
    <t>Value(kb)</t>
  </si>
  <si>
    <t>send_reply_with_attachment</t>
  </si>
  <si>
    <t>desktop_basic_email_bandwidth</t>
  </si>
  <si>
    <t>desktop_attachment_email_bandwidth</t>
  </si>
  <si>
    <t>Email BW Data - SocialMiner and Finesse Desktop</t>
  </si>
  <si>
    <t>Email BW Data - SocialMiner and Exchange</t>
  </si>
  <si>
    <t>Chat Flow</t>
  </si>
  <si>
    <t>total_chats_per_hour</t>
  </si>
  <si>
    <t>group_chat_percentage</t>
  </si>
  <si>
    <t>basic_chat_per_hour</t>
  </si>
  <si>
    <t>group_chat_per_hour</t>
  </si>
  <si>
    <t>Total Bandwidth - SM - Desktop</t>
  </si>
  <si>
    <t>single_chat_message_size</t>
  </si>
  <si>
    <t>total_message_count_per_chat</t>
  </si>
  <si>
    <t>Chat Constants</t>
  </si>
  <si>
    <t>Waitage/Values</t>
  </si>
  <si>
    <t>number_of_agents</t>
  </si>
  <si>
    <t>cost_of_chat</t>
  </si>
  <si>
    <t>cost_of_grp_chat</t>
  </si>
  <si>
    <t>customer_chat_inject</t>
  </si>
  <si>
    <t>customer_transscript</t>
  </si>
  <si>
    <t>typing_overhead_per_message</t>
  </si>
  <si>
    <t>in numbers</t>
  </si>
  <si>
    <t>in percentage</t>
  </si>
  <si>
    <t>group_chat_message_overhead</t>
  </si>
  <si>
    <t>total_group_chat_overhead</t>
  </si>
  <si>
    <t>agent_chat_bandwidth_per_hour</t>
  </si>
  <si>
    <t>customer_ui_libraries</t>
  </si>
  <si>
    <t>kb - (cost_of_chat+ total_group_chat_overhead )</t>
  </si>
  <si>
    <t>(cost_of_chat * basic_chat_per_hour ) + (cost_of_grp_chat * group_chat_per_hour )</t>
  </si>
  <si>
    <t>kb - ( customer_chat_inject + customer_ui_libraries + ((single_chat_message_size + typing_overhead_per_message) * total_message_count_per_chat) + customer_transscript</t>
  </si>
  <si>
    <t xml:space="preserve"> per email</t>
  </si>
  <si>
    <t>avg_message_size_per_chat</t>
  </si>
  <si>
    <t>in chars</t>
  </si>
  <si>
    <t>max_emails_per_agent</t>
  </si>
  <si>
    <t>must be lessthan or equal to 5</t>
  </si>
  <si>
    <t>basic Email - incoming</t>
  </si>
  <si>
    <t>attachment Email - incoming</t>
  </si>
  <si>
    <t>basic email - outgoing</t>
  </si>
  <si>
    <t>attachment Email - outgoing</t>
  </si>
  <si>
    <t>basic_email_outgoing</t>
  </si>
  <si>
    <t>basic_email - incoming</t>
  </si>
  <si>
    <t>attachment_email - incoming</t>
  </si>
  <si>
    <t>basic_emails_per_hour_outgoing</t>
  </si>
  <si>
    <t>attachment_emails_per_hour_outgoing</t>
  </si>
  <si>
    <t>basic_emails_per_hour_incoming</t>
  </si>
  <si>
    <t>attachment_emails_per_hour_incoming</t>
  </si>
  <si>
    <t>total_emails_per_hour_incoming * (attachment_percent / 100)</t>
  </si>
  <si>
    <t>total_emails_per_hour_incoming</t>
  </si>
  <si>
    <t>total_emails_per_hour_outgoing</t>
  </si>
  <si>
    <t>total_emails_per_hour_incoming - attachment_emails_per_hour_incoming</t>
  </si>
  <si>
    <t>outgoing rate :  (number_of_agents * max_emails_per_agent )</t>
  </si>
  <si>
    <t>total_emails_per_hour_outgoing *  (attachment_percent / 100)</t>
  </si>
  <si>
    <t>total_emails_per_hour_outgoing- attachment_emails_per_hour_outgoing</t>
  </si>
  <si>
    <t>desktop_basic_email_bandwidth * basic_emails_per_hour_incoming</t>
  </si>
  <si>
    <t>desktop_attachment_email_bandwidthh * attachment_emails_per_hour_incoming</t>
  </si>
  <si>
    <t>desktop_basic_email_bandwidth * basic_emails_per_hour_outgoing</t>
  </si>
  <si>
    <t>desktop_attachment_email_bandwidthh * attachment_emails_per_hour_outgoing</t>
  </si>
  <si>
    <t>exchange_basic_email_bandwidth*basic_emails_per_hour_outgoing</t>
  </si>
  <si>
    <t>exchange_attachment_email_bandwidth*attachment_emails_per_hour_outgoing</t>
  </si>
  <si>
    <t>chat_message_overhead</t>
  </si>
  <si>
    <t>kb - (ui_libraries + ((single_chat_message_size + typing_overhead_per_message + chat_message_overhead ) * total_message_count_per_chat )</t>
  </si>
  <si>
    <t>cost_of_end_user_chat_per_chat</t>
  </si>
  <si>
    <t>send_reply_with_attachments_multiplier</t>
  </si>
  <si>
    <t>inbound_attachments_download_multiplier</t>
  </si>
  <si>
    <t>incoming rate (incoming requeue)</t>
  </si>
  <si>
    <t>in minutes (avg handled time)</t>
  </si>
  <si>
    <t>calls_per_agent_per_hour</t>
  </si>
  <si>
    <t>total_calls_per_hour</t>
  </si>
  <si>
    <t>outbound_percentage</t>
  </si>
  <si>
    <t>total_incoming_calls</t>
  </si>
  <si>
    <t>total_outgoing_calls</t>
  </si>
  <si>
    <t>script_to_edbs_overhead</t>
  </si>
  <si>
    <t>script_to_rest_overhead</t>
  </si>
  <si>
    <t>edbs_transaction_data_size_incoming</t>
  </si>
  <si>
    <t>edbs_transaction_data_size_outgoing</t>
  </si>
  <si>
    <t>rest_transaction_data_size_outgoing</t>
  </si>
  <si>
    <t>rest_transaction_data_size_incoming</t>
  </si>
  <si>
    <t>number_of_edbs_transaction_per_call</t>
  </si>
  <si>
    <t>number_of_rest_transaction_per_call</t>
  </si>
  <si>
    <t>in numbers :: total_calls_per_hour * (outbound_percentage/100)</t>
  </si>
  <si>
    <t>in numbers :: (total_calls_per_hour - total_outgoing_calls)</t>
  </si>
  <si>
    <t>cost_of_edbs_per_call_incoming</t>
  </si>
  <si>
    <t>cost_of_edbs_per_call_outgoing</t>
  </si>
  <si>
    <t>cost_of_rest_per_call_incoming</t>
  </si>
  <si>
    <t>cost_of_rest_per_call_outgoing</t>
  </si>
  <si>
    <t>REST Flow</t>
  </si>
  <si>
    <t>REST Constants</t>
  </si>
  <si>
    <t>EDBS Flow</t>
  </si>
  <si>
    <t>EDBS Constants</t>
  </si>
  <si>
    <t>in Bytes</t>
  </si>
  <si>
    <t>Historical Report Flow (Reports, Permalinks, Schedulers)</t>
  </si>
  <si>
    <t>Detail</t>
  </si>
  <si>
    <t>number_of_historical_reports</t>
  </si>
  <si>
    <t>number_of_rows</t>
  </si>
  <si>
    <t>refresh_rate</t>
  </si>
  <si>
    <t>number_of_execution_duration</t>
  </si>
  <si>
    <t>numbers</t>
  </si>
  <si>
    <t>in hours</t>
  </si>
  <si>
    <t>Recent State history</t>
  </si>
  <si>
    <t>Recent Call history</t>
  </si>
  <si>
    <t>Agent Team Summary report</t>
  </si>
  <si>
    <t>Agent Statistics Report</t>
  </si>
  <si>
    <t>Agent CSQ Statistics Report</t>
  </si>
  <si>
    <t>Agent Outbound Team Summary Report</t>
  </si>
  <si>
    <t>Chat Agent Statistics Report</t>
  </si>
  <si>
    <t>Chat CSQ Summary Report</t>
  </si>
  <si>
    <t>Email Agent Statistics Report</t>
  </si>
  <si>
    <t>Email CSQ Summary Report</t>
  </si>
  <si>
    <t>Team State Report</t>
  </si>
  <si>
    <t>Team Summary Report</t>
  </si>
  <si>
    <t>Voice CSQ Agent Detail Report</t>
  </si>
  <si>
    <t>Voice CSQ Summary Report</t>
  </si>
  <si>
    <t>Event</t>
  </si>
  <si>
    <t>data</t>
  </si>
  <si>
    <t>data/interval</t>
  </si>
  <si>
    <t>refresh cycle</t>
  </si>
  <si>
    <t>number of agents</t>
  </si>
  <si>
    <t>number of supervisiors</t>
  </si>
  <si>
    <t>single_LD_report_initial_overload</t>
  </si>
  <si>
    <t>duartion_in_sec</t>
  </si>
  <si>
    <t>event_based_LD_overhead_for_agent</t>
  </si>
  <si>
    <t>time_based_LD_overhead_for_agent</t>
  </si>
  <si>
    <t>event_based_LD_overhead_for_supervisor</t>
  </si>
  <si>
    <t>time_based_LD_overhead_for_supervisor</t>
  </si>
  <si>
    <t>Live Date Report in Finesse</t>
  </si>
  <si>
    <t>value</t>
  </si>
  <si>
    <t>Finesse LD Report Multipliers</t>
  </si>
  <si>
    <t>seconds</t>
  </si>
  <si>
    <t>confident factor to calculate bw</t>
  </si>
  <si>
    <t>Bandwidth</t>
  </si>
  <si>
    <t>total_bw_for_agent</t>
  </si>
  <si>
    <t>total_bw_for_supervisor</t>
  </si>
  <si>
    <t>correctness - buffer for over provisioning</t>
  </si>
  <si>
    <t>Agent Reports</t>
  </si>
  <si>
    <t>Supervisor Reports</t>
  </si>
  <si>
    <t>Time</t>
  </si>
  <si>
    <t>polling_overhead_per_sec</t>
  </si>
  <si>
    <t>bw_for_single_agent</t>
  </si>
  <si>
    <t>bw_for_single_supervisor</t>
  </si>
  <si>
    <t>Refreh type</t>
  </si>
  <si>
    <t>Possible max no of rows</t>
  </si>
  <si>
    <t>Ideal row update</t>
  </si>
  <si>
    <t>Bandwidth Calculator</t>
  </si>
  <si>
    <t>Maximum number of emails per agent (must be lessthan or equal to 5)</t>
  </si>
  <si>
    <t>Email</t>
  </si>
  <si>
    <t>Chat</t>
  </si>
  <si>
    <t>Total number of chats per hour</t>
  </si>
  <si>
    <t>Number of email agents</t>
  </si>
  <si>
    <t>Incoming email rate (incoming requeue) per hour</t>
  </si>
  <si>
    <t>Approx size of the single email</t>
  </si>
  <si>
    <t>Amount of group chat percentage from total chat</t>
  </si>
  <si>
    <t>Approximate number of messages per chat</t>
  </si>
  <si>
    <t>Approximate average chat message size per chat</t>
  </si>
  <si>
    <t>Total number REST API requests per call - 0 if no edbs used</t>
  </si>
  <si>
    <t>Total number edbs requests per call - 0 if no edbs used</t>
  </si>
  <si>
    <t>CUIC Reporting Flow</t>
  </si>
  <si>
    <t>Info</t>
  </si>
  <si>
    <t>number_of_chart_reports</t>
  </si>
  <si>
    <t>number_of_gauge_reports</t>
  </si>
  <si>
    <t>number_of_fippa_agents</t>
  </si>
  <si>
    <t>Total number of FIPPA Agents</t>
  </si>
  <si>
    <t>bandwidth_per_agent_for_qstats</t>
  </si>
  <si>
    <t>fippa_qstats_bandwidth</t>
  </si>
  <si>
    <t xml:space="preserve">edbs_bandwidth_per_hour_incoming </t>
  </si>
  <si>
    <t>kbits</t>
  </si>
  <si>
    <t>in numbers calculated based on BHCA</t>
  </si>
  <si>
    <t xml:space="preserve">rest_bandwidth_per_hour_incoming </t>
  </si>
  <si>
    <t xml:space="preserve">rest_bandwidth_per_hour_outgoing </t>
  </si>
  <si>
    <t>FIPPA Flow</t>
  </si>
  <si>
    <t>KB</t>
  </si>
  <si>
    <t>Value(kB)</t>
  </si>
  <si>
    <t>Bandwidth (kB)</t>
  </si>
  <si>
    <t>bw_for_single_agent_initial_report_load</t>
  </si>
  <si>
    <t>bw_for_single_supervisor_initial_report_load</t>
  </si>
  <si>
    <t xml:space="preserve"> (no of supervisor reports * single_LD_report_initial_overload) </t>
  </si>
  <si>
    <t xml:space="preserve"> (no of agent reports * single_LD_report_initial_overload) </t>
  </si>
  <si>
    <t>Size of received dataset (in KB)</t>
  </si>
  <si>
    <t>Response: Waiting time (in ms)</t>
  </si>
  <si>
    <t>Response : Receiving time (in ms)</t>
  </si>
  <si>
    <t>HT Grid 8000 Rows 20 Columns</t>
  </si>
  <si>
    <t>Client - Server Communication</t>
  </si>
  <si>
    <t>RT Grid 3000 Rows  20 Columns</t>
  </si>
  <si>
    <t>RT Chart 3000 Rows 20 Columns</t>
  </si>
  <si>
    <t>RT Gauge 3000 Rows 20 Columns</t>
  </si>
  <si>
    <t>Live Data Report Execution</t>
  </si>
  <si>
    <t>Client-CUIC+LD Bandwidth</t>
  </si>
  <si>
    <t>Live Data 100 rows 10 Columns</t>
  </si>
  <si>
    <t>Case</t>
  </si>
  <si>
    <t>Historical Grid Reports</t>
  </si>
  <si>
    <t>BW</t>
  </si>
  <si>
    <t>RealTime Grid Reports</t>
  </si>
  <si>
    <t>RealTime Gauge Reports</t>
  </si>
  <si>
    <t>RealTime Chart Reports</t>
  </si>
  <si>
    <t>number_of_realtime_reports</t>
  </si>
  <si>
    <t>number_of_rows_realtime_reports</t>
  </si>
  <si>
    <t>number_of_LD_reports</t>
  </si>
  <si>
    <t>LD Reports</t>
  </si>
  <si>
    <t>Browser to CUIC Server(KB/s)</t>
  </si>
  <si>
    <t>number_of_rows_historical_reports</t>
  </si>
  <si>
    <t>number_of_columns_historical_reports</t>
  </si>
  <si>
    <t>refresh_rate_historical_reports</t>
  </si>
  <si>
    <t>number_of_execution_duration_historical_reports</t>
  </si>
  <si>
    <t>historical_reports_number_of_rows</t>
  </si>
  <si>
    <t>historical_reports_number_of_columns</t>
  </si>
  <si>
    <t>realtime_reports_number_of_rows</t>
  </si>
  <si>
    <t>LD_report_number_of_rows</t>
  </si>
  <si>
    <t>total_bw_for_agent_including_report_load</t>
  </si>
  <si>
    <t>total_bw_for_supervisor_including_report_load</t>
  </si>
  <si>
    <t>External System Interaction : EDBS - JDBC based</t>
  </si>
  <si>
    <t>External System Interaction : REST API based</t>
  </si>
  <si>
    <t>yes</t>
  </si>
  <si>
    <t>yes or no</t>
  </si>
  <si>
    <t>choose yes, if Agent uses this reports in finesse desktop, otherwise no.</t>
  </si>
  <si>
    <t>choose yes, if Supervisor accesses this reports in finesse desktop, otherwise no.</t>
  </si>
  <si>
    <t>Agent Reports Name</t>
  </si>
  <si>
    <t>Supervisor Reports Name</t>
  </si>
  <si>
    <t>No Caching</t>
  </si>
  <si>
    <t>Caching</t>
  </si>
  <si>
    <t>number_of_email_agents</t>
  </si>
  <si>
    <t xml:space="preserve">Agent Desktop Login </t>
  </si>
  <si>
    <t>Agent Desktop Usage</t>
  </si>
  <si>
    <t>Agent Desktop Live Data Report</t>
  </si>
  <si>
    <t>Historical Reporting</t>
  </si>
  <si>
    <t>Finesse IPPA</t>
  </si>
  <si>
    <t>Unified CCX Bandwidth Calculator 11.6(1)</t>
  </si>
  <si>
    <t>Approx attachment size - incoming and outgoing</t>
  </si>
  <si>
    <t>percentage of the email that have attachments</t>
  </si>
  <si>
    <t>Percentage of call that are outbound</t>
  </si>
  <si>
    <t>Value(bits)</t>
  </si>
  <si>
    <t>number_of_edbs_transaction_per_call * (edbs_transaction_data_size_incoming+script_to_edbs_overhead)</t>
  </si>
  <si>
    <t xml:space="preserve"> number_of_edbs_transaction_per_call * (edbs_transaction_data_size_outgoing+script_to_edbs_overhead)</t>
  </si>
  <si>
    <t>Assuming that 300 Bytes is query overhead for both incoming and outgoing</t>
  </si>
  <si>
    <t>edbs_bandwidth_per_hour_outgoing</t>
  </si>
  <si>
    <t>Number of agents who handle application that has REST API call</t>
  </si>
  <si>
    <t>Number of agents who handle application that has edbs steps (DBGet, DBRead, etc)</t>
  </si>
  <si>
    <t>Value (bits)</t>
  </si>
  <si>
    <t>number_of_rest_transaction_per_call * (rest_transaction_data_size_incoming+script_to_rest_overhead)</t>
  </si>
  <si>
    <t>number_of_rest_transaction_per_call * (rest_transaction_data_size_outgoing+script_to_rest_overhead)</t>
  </si>
  <si>
    <t>Asuuming that 512 bytes is query overy head for incoming and outgoing</t>
  </si>
  <si>
    <t>KB - per second</t>
  </si>
  <si>
    <t>bw(KBps)</t>
  </si>
  <si>
    <t>KBps - sum of agents reports bw * correctness - buffer for over provisioning</t>
  </si>
  <si>
    <t>KBps -  sum of supervisor reports bw ) * correctness - buffer for over provisioning</t>
  </si>
  <si>
    <t>total_bw_for_LD_initialload_for_agent</t>
  </si>
  <si>
    <t>total_bw_for_LD_initialload_for_supervisor</t>
  </si>
  <si>
    <t>total_bw_for_initialload</t>
  </si>
  <si>
    <t>total_bw_for_LD_after_initialload</t>
  </si>
  <si>
    <t>no</t>
  </si>
  <si>
    <t>Initial Report Load - One Time</t>
  </si>
  <si>
    <t>After Initial Load</t>
  </si>
  <si>
    <t>Correction Factor</t>
  </si>
  <si>
    <t>Unified CCX 11.6</t>
  </si>
  <si>
    <t>2. Do not modify any cells that are Green or Grey.</t>
  </si>
  <si>
    <t>3. Don’t enter any value if you do not intent to use any component.</t>
  </si>
  <si>
    <t>2.The data in Green/Grey cells are not be modified.  It contains the empirical data collected to model the bandwidth utilization.</t>
  </si>
  <si>
    <t xml:space="preserve">3. The calculator is based on per Unified CCX server per site. If one Unified CCX Server has more than one remote site, then the calculator should be run once for each remote site to be evaluated. </t>
  </si>
  <si>
    <t>Agent Desktop - SocialMiner</t>
  </si>
  <si>
    <t>Mail Server - SocialMiner</t>
  </si>
  <si>
    <t>Unified CCX Configuration Information</t>
  </si>
  <si>
    <t>Release 11.6</t>
  </si>
  <si>
    <t>To be updated by Cisco</t>
  </si>
  <si>
    <t>Total Bandwidth -  SocialMiner -Exchange</t>
  </si>
  <si>
    <t>Total Bandwidth - SocialMiner and Desktop</t>
  </si>
  <si>
    <t>Total Bandwidth - SocialMiner and Internet</t>
  </si>
  <si>
    <t>avg handled time</t>
  </si>
  <si>
    <t xml:space="preserve">Finesse IPPA </t>
  </si>
  <si>
    <t>5. These bandwidth calculations must be applied in addition to the calculation results derived from the bandwidth calculations done by Unified CM for HCS deployment.</t>
  </si>
  <si>
    <t xml:space="preserve">4. For distributed deployments (i.e. not all agents located at the same physical site), the Bandwidth Calculator should be run once for each site to calculate the bandwidth required between each site and it's respective Unified CCX server.  </t>
  </si>
  <si>
    <r>
      <t>DISCLAIMER</t>
    </r>
    <r>
      <rPr>
        <sz val="10"/>
        <color indexed="10"/>
        <rFont val="Arial"/>
        <family val="2"/>
      </rPr>
      <t>: This calculator is intended to provide a general understanding of Unified CCX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formulae do not include latency or jitter.</t>
    </r>
  </si>
  <si>
    <t>Web Clients (Agent, Supervisor) to Unified CCX</t>
  </si>
  <si>
    <t>Unified CCX to External Systems (EDBS, REST APIs, etc.)</t>
  </si>
  <si>
    <t>6. This tool assumes that all agent login simulataneusly.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</si>
</sst>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1" x14ac:knownFonts="1">
    <font>
      <sz val="10"/>
      <name val="Arial"/>
    </font>
    <font>
      <b/>
      <sz val="10"/>
      <name val="Arial"/>
      <family val="2"/>
    </font>
    <font>
      <sz val="10"/>
      <name val="Arial"/>
      <family val="2"/>
    </font>
    <font>
      <sz val="8"/>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sz val="10"/>
      <name val="Arial"/>
      <family val="2"/>
    </font>
    <font>
      <b/>
      <sz val="14"/>
      <color theme="0"/>
      <name val="Arial"/>
      <family val="2"/>
    </font>
    <font>
      <sz val="10"/>
      <color theme="1"/>
      <name val="Arial"/>
      <family val="2"/>
    </font>
    <font>
      <u/>
      <sz val="10"/>
      <color theme="10"/>
      <name val="Arial"/>
      <family val="2"/>
    </font>
    <font>
      <u/>
      <sz val="10"/>
      <color theme="11"/>
      <name val="Arial"/>
      <family val="2"/>
    </font>
    <font>
      <sz val="10"/>
      <color theme="0" tint="-0.34998626667073579"/>
      <name val="Arial"/>
      <family val="2"/>
    </font>
    <font>
      <sz val="11"/>
      <color rgb="FF006100"/>
      <name val="Calibri"/>
      <family val="2"/>
      <scheme val="minor"/>
    </font>
    <font>
      <b/>
      <sz val="20"/>
      <name val="Arial"/>
      <family val="2"/>
    </font>
    <font>
      <b/>
      <sz val="28"/>
      <name val="Arial"/>
      <family val="2"/>
    </font>
    <font>
      <b/>
      <sz val="11"/>
      <color theme="1"/>
      <name val="Calibri"/>
      <family val="2"/>
      <scheme val="minor"/>
    </font>
    <font>
      <b/>
      <sz val="12"/>
      <color rgb="FFFFFF00"/>
      <name val="Arial"/>
      <family val="2"/>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E4F50B"/>
        <bgColor rgb="FFCCCCFF"/>
      </patternFill>
    </fill>
    <fill>
      <patternFill patternType="solid">
        <fgColor rgb="FFCCFFCC"/>
        <bgColor rgb="FFCCCCFF"/>
      </patternFill>
    </fill>
    <fill>
      <patternFill patternType="solid">
        <fgColor theme="4" tint="0.59999389629810485"/>
        <bgColor indexed="64"/>
      </patternFill>
    </fill>
    <fill>
      <patternFill patternType="solid">
        <fgColor theme="5" tint="0.39997558519241921"/>
        <bgColor rgb="FFCCCCFF"/>
      </patternFill>
    </fill>
    <fill>
      <patternFill patternType="solid">
        <fgColor rgb="FF00B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CCFFCC"/>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right style="medium">
        <color indexed="64"/>
      </right>
      <top style="thin">
        <color auto="1"/>
      </top>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bottom/>
      <diagonal/>
    </border>
    <border>
      <left style="medium">
        <color auto="1"/>
      </left>
      <right style="medium">
        <color auto="1"/>
      </right>
      <top style="thin">
        <color auto="1"/>
      </top>
      <bottom/>
      <diagonal/>
    </border>
  </borders>
  <cellStyleXfs count="12">
    <xf numFmtId="0" fontId="0" fillId="0" borderId="0"/>
    <xf numFmtId="43" fontId="1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9" borderId="0" applyNumberFormat="0" applyBorder="0" applyAlignment="0" applyProtection="0"/>
    <xf numFmtId="0" fontId="2" fillId="0" borderId="0"/>
  </cellStyleXfs>
  <cellXfs count="370">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4"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4"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5"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4"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4"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0" fontId="0" fillId="0" borderId="23" xfId="0" applyFill="1" applyBorder="1"/>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2" fillId="0" borderId="0" xfId="0" applyFont="1" applyAlignment="1">
      <alignment horizontal="left" vertical="top" wrapText="1"/>
    </xf>
    <xf numFmtId="0" fontId="4" fillId="3" borderId="4" xfId="0" applyFont="1" applyFill="1" applyBorder="1" applyAlignment="1">
      <alignment horizontal="right" indent="2"/>
    </xf>
    <xf numFmtId="164" fontId="4" fillId="3" borderId="5" xfId="0" applyNumberFormat="1" applyFont="1" applyFill="1" applyBorder="1" applyAlignment="1">
      <alignment horizontal="center"/>
    </xf>
    <xf numFmtId="0" fontId="4" fillId="3" borderId="5" xfId="0" applyFont="1" applyFill="1" applyBorder="1"/>
    <xf numFmtId="9" fontId="5" fillId="3" borderId="6" xfId="0" applyNumberFormat="1" applyFont="1" applyFill="1" applyBorder="1" applyAlignment="1">
      <alignment horizontal="center" wrapText="1"/>
    </xf>
    <xf numFmtId="0" fontId="4" fillId="3" borderId="25" xfId="0" applyFont="1" applyFill="1" applyBorder="1" applyAlignment="1">
      <alignment horizontal="left" vertical="top" wrapText="1"/>
    </xf>
    <xf numFmtId="0" fontId="1" fillId="3" borderId="25" xfId="0" applyFont="1" applyFill="1" applyBorder="1" applyAlignment="1">
      <alignment horizontal="left" vertical="top" wrapText="1"/>
    </xf>
    <xf numFmtId="0" fontId="0" fillId="0" borderId="0" xfId="0" applyFill="1" applyBorder="1" applyAlignment="1"/>
    <xf numFmtId="0" fontId="4" fillId="3" borderId="28" xfId="0" applyFont="1" applyFill="1" applyBorder="1"/>
    <xf numFmtId="0" fontId="0" fillId="3" borderId="29" xfId="0" applyFill="1" applyBorder="1" applyAlignment="1">
      <alignment horizontal="center"/>
    </xf>
    <xf numFmtId="0" fontId="0" fillId="3" borderId="29" xfId="0" applyFill="1" applyBorder="1"/>
    <xf numFmtId="0" fontId="0" fillId="3" borderId="30" xfId="0" applyFill="1" applyBorder="1" applyAlignment="1">
      <alignment wrapText="1"/>
    </xf>
    <xf numFmtId="0" fontId="4" fillId="3" borderId="31" xfId="0" applyFont="1" applyFill="1" applyBorder="1"/>
    <xf numFmtId="0" fontId="0" fillId="3" borderId="32" xfId="0" applyFill="1" applyBorder="1" applyAlignment="1">
      <alignment horizontal="center"/>
    </xf>
    <xf numFmtId="0" fontId="0" fillId="3" borderId="32" xfId="0" applyFill="1" applyBorder="1"/>
    <xf numFmtId="0" fontId="0" fillId="3" borderId="33" xfId="0" applyFill="1" applyBorder="1" applyAlignment="1">
      <alignment wrapText="1"/>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4" fontId="1" fillId="3" borderId="20" xfId="0" applyNumberFormat="1" applyFont="1" applyFill="1" applyBorder="1" applyAlignment="1">
      <alignment horizontal="center" wrapText="1"/>
    </xf>
    <xf numFmtId="0" fontId="0" fillId="0" borderId="0" xfId="0" applyNumberFormat="1"/>
    <xf numFmtId="0" fontId="5" fillId="0" borderId="0" xfId="0" applyNumberFormat="1" applyFont="1"/>
    <xf numFmtId="0" fontId="1" fillId="3" borderId="34" xfId="0" applyFont="1" applyFill="1" applyBorder="1" applyAlignment="1">
      <alignment horizontal="left" vertical="top" wrapText="1"/>
    </xf>
    <xf numFmtId="0" fontId="2" fillId="2" borderId="35"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8" fillId="2" borderId="8" xfId="0" applyFont="1" applyFill="1" applyBorder="1" applyAlignment="1">
      <alignment horizontal="left" vertical="top" indent="1"/>
    </xf>
    <xf numFmtId="0" fontId="8" fillId="2" borderId="20" xfId="0" applyFont="1" applyFill="1" applyBorder="1" applyAlignment="1">
      <alignment vertical="top"/>
    </xf>
    <xf numFmtId="0" fontId="8" fillId="2" borderId="8" xfId="0" applyFont="1" applyFill="1" applyBorder="1" applyAlignment="1">
      <alignment horizontal="left" vertical="top" indent="2"/>
    </xf>
    <xf numFmtId="0" fontId="8" fillId="4" borderId="1" xfId="0" applyFont="1" applyFill="1" applyBorder="1" applyAlignment="1" applyProtection="1">
      <alignment horizontal="center" vertical="top"/>
      <protection locked="0"/>
    </xf>
    <xf numFmtId="0" fontId="8" fillId="2" borderId="1" xfId="0" applyFont="1" applyFill="1" applyBorder="1" applyAlignment="1">
      <alignment vertical="top"/>
    </xf>
    <xf numFmtId="0" fontId="8" fillId="2" borderId="7" xfId="0" applyFont="1" applyFill="1" applyBorder="1" applyAlignment="1">
      <alignment vertical="top" wrapText="1"/>
    </xf>
    <xf numFmtId="0" fontId="8" fillId="2" borderId="7" xfId="0" applyFont="1" applyFill="1" applyBorder="1" applyAlignment="1">
      <alignment wrapText="1"/>
    </xf>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8" fillId="2" borderId="17" xfId="0" applyFont="1" applyFill="1" applyBorder="1" applyAlignment="1">
      <alignment horizontal="left" vertical="top" indent="1"/>
    </xf>
    <xf numFmtId="0" fontId="8" fillId="4" borderId="18" xfId="0" applyFont="1" applyFill="1" applyBorder="1" applyAlignment="1" applyProtection="1">
      <alignment horizontal="center" vertical="top"/>
      <protection locked="0"/>
    </xf>
    <xf numFmtId="0" fontId="8" fillId="2" borderId="18" xfId="0" applyFont="1" applyFill="1" applyBorder="1" applyAlignment="1">
      <alignment vertical="top"/>
    </xf>
    <xf numFmtId="0" fontId="8"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11" fillId="5" borderId="0" xfId="0" applyFont="1" applyFill="1"/>
    <xf numFmtId="0" fontId="11" fillId="5" borderId="0" xfId="0" applyFont="1" applyFill="1" applyAlignment="1">
      <alignment horizontal="center"/>
    </xf>
    <xf numFmtId="0" fontId="11" fillId="5" borderId="0" xfId="0" applyFont="1" applyFill="1" applyAlignment="1">
      <alignment wrapText="1"/>
    </xf>
    <xf numFmtId="0" fontId="8" fillId="2" borderId="22" xfId="0" applyFont="1" applyFill="1" applyBorder="1" applyAlignment="1">
      <alignment horizontal="left" vertical="top" indent="1"/>
    </xf>
    <xf numFmtId="0" fontId="8" fillId="2" borderId="16" xfId="0" applyFont="1" applyFill="1" applyBorder="1" applyAlignment="1">
      <alignment vertical="top"/>
    </xf>
    <xf numFmtId="0" fontId="8" fillId="2" borderId="36" xfId="0" applyFont="1" applyFill="1" applyBorder="1" applyAlignment="1">
      <alignment vertical="top" wrapText="1"/>
    </xf>
    <xf numFmtId="0" fontId="12" fillId="2" borderId="1" xfId="0" applyFont="1" applyFill="1" applyBorder="1" applyAlignment="1">
      <alignment horizontal="left" vertical="top" indent="1"/>
    </xf>
    <xf numFmtId="0" fontId="12" fillId="2" borderId="1" xfId="0" applyFont="1" applyFill="1" applyBorder="1" applyAlignment="1">
      <alignment vertical="top"/>
    </xf>
    <xf numFmtId="0" fontId="0" fillId="2" borderId="0" xfId="0" applyFill="1" applyBorder="1" applyAlignment="1">
      <alignment horizontal="left" vertical="top" indent="2"/>
    </xf>
    <xf numFmtId="0" fontId="2" fillId="2" borderId="0" xfId="0" applyFont="1" applyFill="1" applyBorder="1" applyAlignment="1">
      <alignment vertical="top"/>
    </xf>
    <xf numFmtId="0" fontId="0" fillId="2" borderId="0" xfId="0" applyFill="1" applyBorder="1" applyAlignment="1">
      <alignment vertical="top" wrapText="1"/>
    </xf>
    <xf numFmtId="0" fontId="2" fillId="2" borderId="1" xfId="0" applyFont="1" applyFill="1" applyBorder="1" applyAlignment="1">
      <alignment horizontal="left" vertical="top" indent="2"/>
    </xf>
    <xf numFmtId="165" fontId="0" fillId="2" borderId="1" xfId="1" applyNumberFormat="1" applyFont="1" applyFill="1" applyBorder="1" applyAlignment="1">
      <alignment horizontal="center"/>
    </xf>
    <xf numFmtId="43" fontId="0" fillId="0" borderId="0" xfId="0" applyNumberFormat="1"/>
    <xf numFmtId="165" fontId="4" fillId="3" borderId="5" xfId="1" applyNumberFormat="1" applyFont="1" applyFill="1" applyBorder="1" applyAlignment="1">
      <alignment horizontal="center"/>
    </xf>
    <xf numFmtId="0" fontId="1" fillId="3" borderId="24" xfId="0" applyFont="1" applyFill="1" applyBorder="1" applyAlignment="1"/>
    <xf numFmtId="0" fontId="1" fillId="3" borderId="46" xfId="0" applyFont="1" applyFill="1" applyBorder="1" applyAlignment="1">
      <alignment horizontal="center"/>
    </xf>
    <xf numFmtId="0" fontId="1" fillId="3" borderId="47" xfId="0" applyFont="1" applyFill="1" applyBorder="1" applyAlignment="1">
      <alignment horizontal="center"/>
    </xf>
    <xf numFmtId="164" fontId="1" fillId="3" borderId="7" xfId="0" applyNumberFormat="1" applyFont="1" applyFill="1" applyBorder="1" applyAlignment="1">
      <alignment horizontal="center" wrapText="1"/>
    </xf>
    <xf numFmtId="0" fontId="1" fillId="3" borderId="48" xfId="0" applyFont="1" applyFill="1" applyBorder="1" applyAlignment="1"/>
    <xf numFmtId="0" fontId="1" fillId="3" borderId="45" xfId="0" applyFont="1" applyFill="1" applyBorder="1" applyAlignment="1">
      <alignment horizontal="center"/>
    </xf>
    <xf numFmtId="0" fontId="2" fillId="2" borderId="13" xfId="0" applyFont="1" applyFill="1" applyBorder="1" applyAlignment="1">
      <alignment horizontal="left" indent="1"/>
    </xf>
    <xf numFmtId="0" fontId="2" fillId="2" borderId="15" xfId="0" applyFont="1" applyFill="1" applyBorder="1" applyAlignment="1">
      <alignment horizontal="center"/>
    </xf>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0" borderId="49" xfId="0" applyBorder="1"/>
    <xf numFmtId="0" fontId="0" fillId="2" borderId="8" xfId="0" applyFill="1" applyBorder="1"/>
    <xf numFmtId="0" fontId="2" fillId="2" borderId="8" xfId="0" applyFont="1" applyFill="1" applyBorder="1"/>
    <xf numFmtId="0" fontId="0" fillId="2" borderId="7" xfId="0" applyFill="1" applyBorder="1" applyAlignment="1">
      <alignment horizontal="center"/>
    </xf>
    <xf numFmtId="0" fontId="2" fillId="2" borderId="9" xfId="0" applyFont="1" applyFill="1" applyBorder="1"/>
    <xf numFmtId="0" fontId="0" fillId="2" borderId="2" xfId="0" applyFill="1" applyBorder="1" applyAlignment="1">
      <alignment horizontal="center"/>
    </xf>
    <xf numFmtId="0" fontId="0" fillId="2" borderId="3" xfId="0" applyFill="1" applyBorder="1" applyAlignment="1">
      <alignment horizontal="center"/>
    </xf>
    <xf numFmtId="0" fontId="12" fillId="2" borderId="1" xfId="0" applyFont="1" applyFill="1" applyBorder="1" applyAlignment="1">
      <alignment vertical="top" wrapText="1"/>
    </xf>
    <xf numFmtId="0" fontId="6" fillId="0" borderId="0" xfId="0" applyFont="1" applyAlignment="1">
      <alignment horizontal="left" vertical="top" wrapText="1"/>
    </xf>
    <xf numFmtId="9" fontId="0" fillId="2" borderId="15" xfId="0" applyNumberFormat="1" applyFill="1" applyBorder="1" applyAlignment="1">
      <alignment horizontal="left" vertical="top" wrapText="1"/>
    </xf>
    <xf numFmtId="0" fontId="1" fillId="3" borderId="0" xfId="0" applyFont="1" applyFill="1" applyBorder="1" applyAlignment="1"/>
    <xf numFmtId="0" fontId="0" fillId="2" borderId="50" xfId="0" applyFill="1" applyBorder="1" applyAlignment="1">
      <alignment horizontal="center"/>
    </xf>
    <xf numFmtId="0" fontId="1" fillId="3" borderId="0" xfId="0" applyFont="1" applyFill="1" applyBorder="1" applyAlignment="1">
      <alignment horizontal="left"/>
    </xf>
    <xf numFmtId="0" fontId="1" fillId="3" borderId="44" xfId="0" applyFont="1" applyFill="1" applyBorder="1" applyAlignment="1">
      <alignment horizontal="left"/>
    </xf>
    <xf numFmtId="0" fontId="0" fillId="2" borderId="0" xfId="0" applyFill="1" applyBorder="1" applyAlignment="1">
      <alignment horizontal="center"/>
    </xf>
    <xf numFmtId="0" fontId="1" fillId="3" borderId="44" xfId="0" applyFont="1" applyFill="1" applyBorder="1" applyAlignment="1">
      <alignment horizontal="center"/>
    </xf>
    <xf numFmtId="0" fontId="2" fillId="2" borderId="37" xfId="0" applyFont="1" applyFill="1" applyBorder="1" applyAlignment="1">
      <alignment horizontal="left" indent="1"/>
    </xf>
    <xf numFmtId="0" fontId="2" fillId="2" borderId="1" xfId="0" applyFont="1" applyFill="1" applyBorder="1" applyAlignment="1">
      <alignment horizontal="center"/>
    </xf>
    <xf numFmtId="0" fontId="2" fillId="2" borderId="50"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6" fillId="0" borderId="0" xfId="0" applyFont="1" applyAlignment="1">
      <alignment horizontal="left" vertical="top" wrapText="1"/>
    </xf>
    <xf numFmtId="0" fontId="2" fillId="2" borderId="22" xfId="0" applyFont="1" applyFill="1" applyBorder="1"/>
    <xf numFmtId="0" fontId="0" fillId="2" borderId="16" xfId="0" applyFill="1" applyBorder="1" applyAlignment="1">
      <alignment horizontal="center"/>
    </xf>
    <xf numFmtId="0" fontId="0" fillId="2" borderId="36" xfId="0" applyFill="1" applyBorder="1" applyAlignment="1">
      <alignment horizontal="center"/>
    </xf>
    <xf numFmtId="0" fontId="2" fillId="2" borderId="7" xfId="0" applyFont="1" applyFill="1" applyBorder="1" applyAlignment="1">
      <alignment horizontal="center"/>
    </xf>
    <xf numFmtId="0" fontId="0" fillId="6" borderId="50" xfId="0" applyFill="1" applyBorder="1" applyAlignment="1">
      <alignment horizontal="center"/>
    </xf>
    <xf numFmtId="0" fontId="1" fillId="6" borderId="0" xfId="0" applyFont="1" applyFill="1" applyBorder="1" applyAlignment="1">
      <alignment horizontal="left"/>
    </xf>
    <xf numFmtId="0" fontId="1" fillId="6" borderId="44" xfId="0" applyFont="1" applyFill="1" applyBorder="1" applyAlignment="1">
      <alignment horizontal="left"/>
    </xf>
    <xf numFmtId="0" fontId="0" fillId="6" borderId="0" xfId="0" applyFill="1" applyBorder="1" applyAlignment="1">
      <alignment horizontal="center"/>
    </xf>
    <xf numFmtId="0" fontId="0" fillId="6" borderId="1" xfId="0" applyFill="1" applyBorder="1" applyAlignment="1">
      <alignment horizontal="center"/>
    </xf>
    <xf numFmtId="0" fontId="12" fillId="2" borderId="8" xfId="0" applyFont="1" applyFill="1" applyBorder="1" applyAlignment="1">
      <alignment horizontal="left" indent="2"/>
    </xf>
    <xf numFmtId="164" fontId="12" fillId="2" borderId="14" xfId="0" applyNumberFormat="1" applyFont="1" applyFill="1" applyBorder="1" applyAlignment="1">
      <alignment horizontal="center"/>
    </xf>
    <xf numFmtId="0" fontId="12" fillId="2" borderId="1" xfId="0" applyFont="1" applyFill="1" applyBorder="1"/>
    <xf numFmtId="9" fontId="12" fillId="2" borderId="15" xfId="0" applyNumberFormat="1" applyFont="1" applyFill="1" applyBorder="1" applyAlignment="1">
      <alignment horizontal="center" wrapText="1"/>
    </xf>
    <xf numFmtId="165" fontId="0" fillId="2" borderId="50" xfId="1" applyNumberFormat="1" applyFont="1" applyFill="1" applyBorder="1" applyAlignment="1">
      <alignment horizontal="center"/>
    </xf>
    <xf numFmtId="0" fontId="6" fillId="0" borderId="0" xfId="0" applyFont="1" applyAlignment="1">
      <alignment horizontal="left" vertical="top" wrapText="1"/>
    </xf>
    <xf numFmtId="165" fontId="2" fillId="2" borderId="50" xfId="1" applyNumberFormat="1" applyFont="1" applyFill="1" applyBorder="1" applyAlignment="1">
      <alignment horizontal="right"/>
    </xf>
    <xf numFmtId="165" fontId="0" fillId="2" borderId="50" xfId="1" applyNumberFormat="1" applyFont="1" applyFill="1" applyBorder="1" applyAlignment="1">
      <alignment horizontal="right"/>
    </xf>
    <xf numFmtId="0" fontId="2" fillId="2" borderId="50" xfId="0" applyFont="1" applyFill="1" applyBorder="1" applyAlignment="1">
      <alignment horizontal="right"/>
    </xf>
    <xf numFmtId="0" fontId="2" fillId="2" borderId="1" xfId="0" applyFont="1" applyFill="1" applyBorder="1" applyAlignment="1">
      <alignment horizontal="right"/>
    </xf>
    <xf numFmtId="165" fontId="0" fillId="2" borderId="20" xfId="1" applyNumberFormat="1" applyFont="1" applyFill="1" applyBorder="1" applyAlignment="1">
      <alignment horizontal="center"/>
    </xf>
    <xf numFmtId="0" fontId="0" fillId="2" borderId="50"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5" fillId="7" borderId="49" xfId="0" applyFont="1" applyFill="1" applyBorder="1"/>
    <xf numFmtId="0" fontId="8" fillId="8" borderId="0" xfId="0" applyFont="1" applyFill="1"/>
    <xf numFmtId="0" fontId="0" fillId="2" borderId="8" xfId="0" applyFont="1" applyFill="1" applyBorder="1" applyAlignment="1">
      <alignment horizontal="left" indent="1"/>
    </xf>
    <xf numFmtId="0" fontId="6" fillId="0" borderId="0" xfId="0" applyFont="1" applyAlignment="1">
      <alignment horizontal="left" vertical="top" wrapText="1"/>
    </xf>
    <xf numFmtId="0" fontId="1" fillId="3" borderId="5" xfId="0" applyFont="1" applyFill="1" applyBorder="1" applyAlignment="1">
      <alignment horizontal="center" vertical="top" wrapText="1"/>
    </xf>
    <xf numFmtId="0" fontId="0" fillId="2" borderId="1" xfId="0" applyFont="1" applyFill="1" applyBorder="1" applyAlignment="1">
      <alignment horizontal="left" vertical="top" wrapText="1"/>
    </xf>
    <xf numFmtId="165" fontId="12" fillId="2" borderId="50" xfId="1" applyNumberFormat="1" applyFont="1" applyFill="1" applyBorder="1" applyAlignment="1">
      <alignment horizontal="right"/>
    </xf>
    <xf numFmtId="0" fontId="2" fillId="0" borderId="0" xfId="11"/>
    <xf numFmtId="0" fontId="2" fillId="2" borderId="51" xfId="0" applyFont="1" applyFill="1" applyBorder="1" applyAlignment="1">
      <alignment horizontal="left" vertical="top" indent="1"/>
    </xf>
    <xf numFmtId="0" fontId="2" fillId="9" borderId="0" xfId="10" applyFont="1"/>
    <xf numFmtId="0" fontId="2" fillId="9" borderId="1" xfId="10" applyFont="1" applyBorder="1"/>
    <xf numFmtId="0" fontId="1" fillId="2" borderId="13" xfId="0" applyFont="1" applyFill="1" applyBorder="1" applyAlignment="1">
      <alignment horizontal="left" vertical="top" indent="1"/>
    </xf>
    <xf numFmtId="0" fontId="2" fillId="2" borderId="13" xfId="0" applyFont="1" applyFill="1" applyBorder="1" applyAlignment="1">
      <alignment horizontal="right" vertical="top"/>
    </xf>
    <xf numFmtId="0" fontId="2" fillId="0" borderId="0" xfId="0" applyFont="1" applyFill="1" applyBorder="1" applyAlignment="1">
      <alignment horizontal="left" vertical="top" indent="1"/>
    </xf>
    <xf numFmtId="0" fontId="2" fillId="0" borderId="0" xfId="10" applyFont="1" applyFill="1" applyBorder="1"/>
    <xf numFmtId="0" fontId="2" fillId="10" borderId="1" xfId="11" applyFont="1" applyFill="1" applyBorder="1" applyAlignment="1">
      <alignment horizontal="right" vertical="center" wrapText="1"/>
    </xf>
    <xf numFmtId="0" fontId="1" fillId="3" borderId="37" xfId="0" applyFont="1" applyFill="1" applyBorder="1" applyAlignment="1">
      <alignment horizontal="left" vertical="center" wrapText="1"/>
    </xf>
    <xf numFmtId="0" fontId="0" fillId="0" borderId="0" xfId="0" applyAlignment="1">
      <alignment vertical="center" wrapText="1"/>
    </xf>
    <xf numFmtId="0" fontId="2" fillId="2" borderId="13"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9" borderId="1" xfId="10" applyFont="1" applyBorder="1" applyAlignment="1">
      <alignment vertical="center" wrapText="1"/>
    </xf>
    <xf numFmtId="0" fontId="2" fillId="0" borderId="0" xfId="11" applyAlignment="1">
      <alignment vertical="center" wrapText="1"/>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3" xfId="0" applyFont="1" applyFill="1" applyBorder="1" applyAlignment="1">
      <alignment horizontal="left" vertical="center" wrapText="1"/>
    </xf>
    <xf numFmtId="1" fontId="2" fillId="9" borderId="1" xfId="10" applyNumberFormat="1" applyFont="1" applyBorder="1" applyAlignment="1">
      <alignment vertical="center" wrapText="1"/>
    </xf>
    <xf numFmtId="164" fontId="2" fillId="0" borderId="0" xfId="11" applyNumberFormat="1" applyAlignment="1">
      <alignment vertical="center" wrapText="1"/>
    </xf>
    <xf numFmtId="1" fontId="2" fillId="9" borderId="1" xfId="10" applyNumberFormat="1" applyFont="1" applyBorder="1"/>
    <xf numFmtId="1" fontId="1" fillId="9" borderId="1" xfId="10" applyNumberFormat="1" applyFont="1" applyBorder="1"/>
    <xf numFmtId="1" fontId="2" fillId="0" borderId="0" xfId="11" applyNumberFormat="1"/>
    <xf numFmtId="0" fontId="1" fillId="3" borderId="38" xfId="0" applyFont="1" applyFill="1" applyBorder="1" applyAlignment="1">
      <alignment horizontal="left" vertical="top" indent="1"/>
    </xf>
    <xf numFmtId="1" fontId="2" fillId="9" borderId="20" xfId="10" applyNumberFormat="1" applyFont="1" applyBorder="1" applyAlignment="1">
      <alignment vertical="center" wrapText="1"/>
    </xf>
    <xf numFmtId="0" fontId="2" fillId="9" borderId="20" xfId="10" applyFont="1" applyBorder="1" applyAlignment="1">
      <alignment vertical="center" wrapText="1"/>
    </xf>
    <xf numFmtId="0" fontId="2" fillId="9" borderId="44" xfId="10" applyFont="1" applyBorder="1" applyAlignment="1">
      <alignment vertical="center" wrapText="1"/>
    </xf>
    <xf numFmtId="0" fontId="1" fillId="3" borderId="1" xfId="0" applyFont="1" applyFill="1" applyBorder="1" applyAlignment="1">
      <alignment horizontal="left" vertical="center" wrapText="1"/>
    </xf>
    <xf numFmtId="2" fontId="2" fillId="9" borderId="1" xfId="10" applyNumberFormat="1" applyFont="1" applyBorder="1" applyAlignment="1">
      <alignment vertical="center" wrapText="1"/>
    </xf>
    <xf numFmtId="0" fontId="1" fillId="2" borderId="13" xfId="0" applyFont="1" applyFill="1" applyBorder="1" applyAlignment="1">
      <alignment horizontal="right" vertical="center" wrapText="1"/>
    </xf>
    <xf numFmtId="2" fontId="2" fillId="9" borderId="44" xfId="10" applyNumberFormat="1" applyFont="1" applyBorder="1" applyAlignment="1">
      <alignment vertical="center" wrapText="1"/>
    </xf>
    <xf numFmtId="0" fontId="1" fillId="3" borderId="1" xfId="0" applyFont="1" applyFill="1" applyBorder="1" applyAlignment="1">
      <alignment horizontal="left" vertical="top" indent="1"/>
    </xf>
    <xf numFmtId="0" fontId="2" fillId="11" borderId="1" xfId="11" applyFont="1" applyFill="1" applyBorder="1" applyAlignment="1">
      <alignment horizontal="right" vertical="center"/>
    </xf>
    <xf numFmtId="0" fontId="1" fillId="2" borderId="1" xfId="0" applyFont="1" applyFill="1" applyBorder="1" applyAlignment="1">
      <alignment horizontal="left" vertical="top" indent="1"/>
    </xf>
    <xf numFmtId="0" fontId="1" fillId="11" borderId="1" xfId="11" applyFont="1" applyFill="1" applyBorder="1" applyAlignment="1">
      <alignment horizontal="right" vertical="center"/>
    </xf>
    <xf numFmtId="0" fontId="2" fillId="11" borderId="1" xfId="11" applyFont="1" applyFill="1" applyBorder="1" applyAlignment="1">
      <alignment horizontal="right" vertical="center" wrapText="1"/>
    </xf>
    <xf numFmtId="1" fontId="1" fillId="11" borderId="1" xfId="11" applyNumberFormat="1" applyFont="1" applyFill="1" applyBorder="1" applyAlignment="1">
      <alignment horizontal="right" vertical="center"/>
    </xf>
    <xf numFmtId="0" fontId="1" fillId="3" borderId="1" xfId="0" applyFont="1" applyFill="1" applyBorder="1" applyAlignment="1">
      <alignment horizontal="left" vertical="top" wrapText="1"/>
    </xf>
    <xf numFmtId="0" fontId="2" fillId="13" borderId="20" xfId="11" applyFont="1" applyFill="1" applyBorder="1" applyAlignment="1">
      <alignment horizontal="right" vertical="center"/>
    </xf>
    <xf numFmtId="0" fontId="2" fillId="13" borderId="1" xfId="11" applyFont="1" applyFill="1" applyBorder="1" applyAlignment="1">
      <alignment horizontal="right" vertical="center"/>
    </xf>
    <xf numFmtId="0" fontId="0" fillId="0" borderId="0" xfId="0" applyAlignment="1">
      <alignment horizontal="center" vertical="center" wrapText="1"/>
    </xf>
    <xf numFmtId="0" fontId="2" fillId="2" borderId="8" xfId="0" applyFont="1" applyFill="1" applyBorder="1" applyAlignment="1">
      <alignment horizontal="left" vertical="center" wrapText="1"/>
    </xf>
    <xf numFmtId="0" fontId="0" fillId="4" borderId="1" xfId="0" applyFill="1" applyBorder="1" applyAlignment="1" applyProtection="1">
      <alignment horizontal="center" vertical="center" wrapText="1"/>
      <protection locked="0"/>
    </xf>
    <xf numFmtId="0" fontId="0" fillId="2" borderId="1" xfId="0" applyFill="1" applyBorder="1" applyAlignment="1">
      <alignment vertical="center" wrapText="1"/>
    </xf>
    <xf numFmtId="0" fontId="12" fillId="4" borderId="1" xfId="0" applyFont="1" applyFill="1" applyBorder="1" applyAlignment="1" applyProtection="1">
      <alignment horizontal="center" vertical="center" wrapText="1"/>
      <protection locked="0"/>
    </xf>
    <xf numFmtId="0" fontId="12" fillId="2" borderId="1" xfId="0" applyFont="1" applyFill="1" applyBorder="1" applyAlignment="1">
      <alignment vertical="center" wrapText="1"/>
    </xf>
    <xf numFmtId="0" fontId="0" fillId="0" borderId="0" xfId="0" applyNumberFormat="1" applyAlignment="1">
      <alignment vertical="center" wrapText="1"/>
    </xf>
    <xf numFmtId="0" fontId="0" fillId="2" borderId="8" xfId="0" applyFill="1" applyBorder="1" applyAlignment="1">
      <alignment horizontal="left" vertical="center" wrapText="1"/>
    </xf>
    <xf numFmtId="9" fontId="0" fillId="4" borderId="1" xfId="0" applyNumberFormat="1" applyFill="1" applyBorder="1" applyAlignment="1" applyProtection="1">
      <alignment horizontal="center" vertical="center" wrapText="1"/>
      <protection locked="0"/>
    </xf>
    <xf numFmtId="0" fontId="8" fillId="2" borderId="8" xfId="0" applyFont="1" applyFill="1" applyBorder="1" applyAlignment="1">
      <alignment horizontal="left" vertical="center" wrapText="1"/>
    </xf>
    <xf numFmtId="9" fontId="8" fillId="4" borderId="1" xfId="0" applyNumberFormat="1" applyFont="1" applyFill="1" applyBorder="1" applyAlignment="1" applyProtection="1">
      <alignment horizontal="center" vertical="center" wrapText="1"/>
      <protection locked="0"/>
    </xf>
    <xf numFmtId="0" fontId="8" fillId="2" borderId="20" xfId="0" applyFont="1" applyFill="1" applyBorder="1" applyAlignment="1">
      <alignment vertical="center" wrapText="1"/>
    </xf>
    <xf numFmtId="0" fontId="2" fillId="2" borderId="1" xfId="0" applyFont="1" applyFill="1" applyBorder="1" applyAlignment="1">
      <alignment vertical="center" wrapText="1"/>
    </xf>
    <xf numFmtId="0" fontId="8" fillId="4" borderId="1" xfId="0"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0" fontId="1" fillId="3" borderId="3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13" borderId="1" xfId="11" applyFont="1" applyFill="1" applyBorder="1" applyAlignment="1">
      <alignment horizontal="right" vertical="center" wrapText="1"/>
    </xf>
    <xf numFmtId="0" fontId="0" fillId="16" borderId="14" xfId="0" applyFill="1" applyBorder="1" applyAlignment="1" applyProtection="1">
      <alignment horizontal="center" vertical="top"/>
      <protection locked="0"/>
    </xf>
    <xf numFmtId="0" fontId="0" fillId="16" borderId="1" xfId="0" applyFill="1" applyBorder="1" applyAlignment="1" applyProtection="1">
      <alignment horizontal="center" vertical="top"/>
      <protection locked="0"/>
    </xf>
    <xf numFmtId="0" fontId="8" fillId="16" borderId="16" xfId="0" applyFont="1" applyFill="1" applyBorder="1" applyAlignment="1" applyProtection="1">
      <alignment horizontal="center" vertical="top"/>
      <protection locked="0"/>
    </xf>
    <xf numFmtId="0" fontId="12" fillId="16" borderId="1" xfId="0" applyFont="1" applyFill="1" applyBorder="1" applyAlignment="1" applyProtection="1">
      <alignment horizontal="center" vertical="top"/>
      <protection locked="0"/>
    </xf>
    <xf numFmtId="0" fontId="2" fillId="16" borderId="14" xfId="0" applyFont="1" applyFill="1" applyBorder="1" applyAlignment="1" applyProtection="1">
      <alignment horizontal="center" vertical="top"/>
      <protection locked="0"/>
    </xf>
    <xf numFmtId="9" fontId="0" fillId="16" borderId="14" xfId="0" applyNumberFormat="1" applyFill="1" applyBorder="1" applyAlignment="1" applyProtection="1">
      <alignment horizontal="center" vertical="top"/>
      <protection locked="0"/>
    </xf>
    <xf numFmtId="9" fontId="0" fillId="16" borderId="1" xfId="0" applyNumberFormat="1" applyFill="1" applyBorder="1" applyAlignment="1" applyProtection="1">
      <alignment horizontal="center" vertical="top"/>
      <protection locked="0"/>
    </xf>
    <xf numFmtId="9" fontId="8" fillId="16" borderId="1" xfId="0" applyNumberFormat="1" applyFont="1" applyFill="1" applyBorder="1" applyAlignment="1" applyProtection="1">
      <alignment horizontal="center" vertical="top"/>
      <protection locked="0"/>
    </xf>
    <xf numFmtId="0" fontId="0" fillId="16" borderId="2" xfId="0" applyFill="1" applyBorder="1" applyAlignment="1" applyProtection="1">
      <alignment horizontal="center" vertical="top"/>
      <protection locked="0"/>
    </xf>
    <xf numFmtId="0" fontId="2" fillId="13" borderId="20" xfId="11"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0" borderId="0" xfId="0" applyFont="1" applyAlignment="1">
      <alignment vertical="center" wrapText="1"/>
    </xf>
    <xf numFmtId="0" fontId="17" fillId="15" borderId="52" xfId="0" applyFont="1" applyFill="1" applyBorder="1" applyAlignment="1">
      <alignment vertical="center" wrapText="1"/>
    </xf>
    <xf numFmtId="1" fontId="0" fillId="0" borderId="0" xfId="0" applyNumberFormat="1"/>
    <xf numFmtId="0" fontId="1" fillId="3" borderId="37" xfId="0" applyFont="1" applyFill="1" applyBorder="1" applyAlignment="1">
      <alignment horizontal="left" vertical="top" wrapText="1"/>
    </xf>
    <xf numFmtId="0" fontId="0" fillId="0" borderId="1" xfId="0" applyBorder="1"/>
    <xf numFmtId="0" fontId="16" fillId="9" borderId="1" xfId="10" applyBorder="1" applyAlignment="1">
      <alignment wrapText="1"/>
    </xf>
    <xf numFmtId="0" fontId="2" fillId="0" borderId="0" xfId="0" applyFont="1" applyBorder="1" applyAlignment="1">
      <alignment wrapText="1"/>
    </xf>
    <xf numFmtId="0" fontId="2" fillId="0" borderId="23" xfId="0" applyFont="1" applyBorder="1" applyAlignment="1">
      <alignment wrapText="1"/>
    </xf>
    <xf numFmtId="0" fontId="0" fillId="0" borderId="23" xfId="0" applyBorder="1" applyAlignment="1">
      <alignment wrapText="1"/>
    </xf>
    <xf numFmtId="0" fontId="2" fillId="17" borderId="1" xfId="0" applyFont="1" applyFill="1" applyBorder="1" applyAlignment="1">
      <alignment wrapText="1"/>
    </xf>
    <xf numFmtId="0" fontId="2" fillId="17" borderId="20" xfId="0" applyFont="1" applyFill="1" applyBorder="1" applyAlignment="1">
      <alignment wrapText="1"/>
    </xf>
    <xf numFmtId="1" fontId="2" fillId="11" borderId="1" xfId="11" applyNumberFormat="1" applyFont="1" applyFill="1" applyBorder="1" applyAlignment="1">
      <alignment horizontal="right" vertical="center"/>
    </xf>
    <xf numFmtId="0" fontId="2" fillId="2" borderId="20" xfId="0" applyFont="1" applyFill="1" applyBorder="1" applyAlignment="1">
      <alignment vertical="center" wrapText="1"/>
    </xf>
    <xf numFmtId="0" fontId="2" fillId="2" borderId="20" xfId="0" applyFont="1" applyFill="1" applyBorder="1" applyAlignment="1">
      <alignment horizontal="left" vertical="center" wrapText="1"/>
    </xf>
    <xf numFmtId="0" fontId="1" fillId="3" borderId="37" xfId="0" applyFont="1" applyFill="1" applyBorder="1" applyAlignment="1">
      <alignment horizontal="left" vertical="top" indent="1"/>
    </xf>
    <xf numFmtId="0" fontId="4" fillId="15" borderId="1" xfId="0" applyFont="1" applyFill="1" applyBorder="1" applyAlignment="1">
      <alignment vertical="center" wrapText="1"/>
    </xf>
    <xf numFmtId="0" fontId="12" fillId="2" borderId="8"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5" xfId="0" applyFont="1" applyFill="1" applyBorder="1" applyAlignment="1">
      <alignment horizontal="left" vertical="center" wrapText="1"/>
    </xf>
    <xf numFmtId="2" fontId="20" fillId="15" borderId="7" xfId="0" applyNumberFormat="1" applyFont="1" applyFill="1" applyBorder="1" applyAlignment="1">
      <alignment horizontal="left" vertical="center" wrapText="1"/>
    </xf>
    <xf numFmtId="0" fontId="2" fillId="4" borderId="1" xfId="0" applyFont="1" applyFill="1" applyBorder="1" applyAlignment="1" applyProtection="1">
      <alignment horizontal="center" vertical="center" wrapText="1"/>
      <protection locked="0"/>
    </xf>
    <xf numFmtId="0" fontId="2" fillId="2" borderId="8"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17" fillId="15" borderId="20" xfId="0" applyFont="1" applyFill="1" applyBorder="1" applyAlignment="1">
      <alignment vertical="center" wrapText="1"/>
    </xf>
    <xf numFmtId="0" fontId="1" fillId="12" borderId="8" xfId="0" applyFont="1" applyFill="1" applyBorder="1" applyAlignment="1">
      <alignment horizontal="left" vertical="center" wrapText="1"/>
    </xf>
    <xf numFmtId="0" fontId="0" fillId="12" borderId="1" xfId="0" applyFill="1" applyBorder="1" applyAlignment="1" applyProtection="1">
      <alignment horizontal="center" vertical="center" wrapText="1"/>
      <protection locked="0"/>
    </xf>
    <xf numFmtId="0" fontId="1" fillId="12" borderId="1" xfId="0" applyFont="1" applyFill="1" applyBorder="1" applyAlignment="1">
      <alignment horizontal="left" vertical="center" wrapText="1"/>
    </xf>
    <xf numFmtId="0" fontId="1" fillId="12" borderId="20" xfId="0" applyFont="1" applyFill="1" applyBorder="1" applyAlignment="1">
      <alignment horizontal="left" vertical="center" wrapText="1"/>
    </xf>
    <xf numFmtId="0" fontId="4" fillId="12" borderId="8"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20" xfId="0" applyFont="1" applyFill="1" applyBorder="1" applyAlignment="1">
      <alignment horizontal="center" vertical="center" wrapText="1"/>
    </xf>
    <xf numFmtId="0" fontId="0" fillId="0" borderId="0" xfId="0" applyNumberFormat="1" applyAlignment="1">
      <alignment horizontal="center" vertical="center" wrapText="1"/>
    </xf>
    <xf numFmtId="0" fontId="4" fillId="12" borderId="37" xfId="0" applyFont="1" applyFill="1" applyBorder="1" applyAlignment="1">
      <alignment horizontal="center" vertical="center" wrapText="1"/>
    </xf>
    <xf numFmtId="0" fontId="4" fillId="12" borderId="38" xfId="0" applyFont="1" applyFill="1" applyBorder="1" applyAlignment="1">
      <alignment horizontal="center" vertical="center" wrapText="1"/>
    </xf>
    <xf numFmtId="0" fontId="1" fillId="12" borderId="37" xfId="0" applyFont="1" applyFill="1" applyBorder="1" applyAlignment="1">
      <alignment horizontal="center" vertical="center" wrapText="1"/>
    </xf>
    <xf numFmtId="0" fontId="1" fillId="12" borderId="38"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0" fillId="12" borderId="39" xfId="0" applyFill="1" applyBorder="1" applyAlignment="1">
      <alignment horizontal="center" vertical="center" wrapText="1"/>
    </xf>
    <xf numFmtId="0" fontId="0" fillId="18" borderId="39" xfId="0" applyFill="1" applyBorder="1" applyAlignment="1">
      <alignment vertical="center" wrapText="1"/>
    </xf>
    <xf numFmtId="0" fontId="0" fillId="12" borderId="54" xfId="0" applyFill="1" applyBorder="1" applyAlignment="1">
      <alignment vertical="center" wrapText="1"/>
    </xf>
    <xf numFmtId="0" fontId="0" fillId="12" borderId="39" xfId="0" applyFill="1" applyBorder="1" applyAlignment="1">
      <alignment vertical="center" wrapText="1"/>
    </xf>
    <xf numFmtId="0" fontId="0" fillId="18" borderId="56" xfId="0" applyFill="1" applyBorder="1" applyAlignment="1">
      <alignment vertical="center" wrapText="1"/>
    </xf>
    <xf numFmtId="2" fontId="1" fillId="9" borderId="1" xfId="10" applyNumberFormat="1" applyFont="1" applyBorder="1"/>
    <xf numFmtId="0" fontId="20" fillId="15" borderId="1" xfId="0" applyFont="1" applyFill="1" applyBorder="1" applyAlignment="1">
      <alignment vertical="center" wrapText="1"/>
    </xf>
    <xf numFmtId="2" fontId="16" fillId="9" borderId="1" xfId="10" applyNumberFormat="1" applyBorder="1" applyAlignment="1">
      <alignment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4" borderId="1" xfId="0" applyFill="1" applyBorder="1" applyAlignment="1" applyProtection="1">
      <alignment horizontal="right" vertical="center" wrapText="1"/>
      <protection locked="0"/>
    </xf>
    <xf numFmtId="9" fontId="0" fillId="4" borderId="1" xfId="0" applyNumberFormat="1" applyFill="1" applyBorder="1" applyAlignment="1" applyProtection="1">
      <alignment horizontal="right" vertical="center" wrapText="1"/>
      <protection locked="0"/>
    </xf>
    <xf numFmtId="9" fontId="8" fillId="4" borderId="1" xfId="0" applyNumberFormat="1" applyFont="1" applyFill="1" applyBorder="1" applyAlignment="1" applyProtection="1">
      <alignment horizontal="right" vertical="center" wrapText="1"/>
      <protection locked="0"/>
    </xf>
    <xf numFmtId="0" fontId="0" fillId="4" borderId="2" xfId="0" applyFill="1" applyBorder="1" applyAlignment="1" applyProtection="1">
      <alignment horizontal="right" vertical="center" wrapText="1"/>
      <protection locked="0"/>
    </xf>
    <xf numFmtId="0" fontId="16" fillId="0" borderId="1" xfId="10" applyFill="1" applyBorder="1" applyAlignment="1">
      <alignment wrapText="1"/>
    </xf>
    <xf numFmtId="165" fontId="20" fillId="15" borderId="1" xfId="0" applyNumberFormat="1" applyFont="1" applyFill="1" applyBorder="1" applyAlignment="1">
      <alignment horizontal="right" vertical="center" wrapText="1"/>
    </xf>
    <xf numFmtId="0" fontId="4" fillId="14" borderId="1" xfId="0" applyFont="1" applyFill="1" applyBorder="1" applyAlignment="1">
      <alignment vertical="center" wrapText="1"/>
    </xf>
    <xf numFmtId="165" fontId="20" fillId="14" borderId="1" xfId="0" applyNumberFormat="1" applyFont="1" applyFill="1" applyBorder="1" applyAlignment="1">
      <alignment horizontal="right" vertical="center" wrapText="1"/>
    </xf>
    <xf numFmtId="2" fontId="20" fillId="14" borderId="7" xfId="0" applyNumberFormat="1" applyFont="1" applyFill="1" applyBorder="1" applyAlignment="1">
      <alignment horizontal="left" vertical="center" wrapText="1"/>
    </xf>
    <xf numFmtId="0" fontId="0" fillId="0" borderId="44" xfId="0"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Alignment="1">
      <alignment vertical="top" wrapText="1"/>
    </xf>
    <xf numFmtId="0" fontId="1" fillId="3" borderId="26" xfId="0" applyFont="1" applyFill="1" applyBorder="1" applyAlignment="1">
      <alignment horizontal="left" vertical="top" wrapText="1"/>
    </xf>
    <xf numFmtId="0" fontId="0" fillId="0" borderId="0" xfId="0" applyBorder="1"/>
    <xf numFmtId="0" fontId="2" fillId="2" borderId="58" xfId="0" applyFont="1" applyFill="1" applyBorder="1" applyAlignment="1">
      <alignment horizontal="left" vertical="top" wrapText="1"/>
    </xf>
    <xf numFmtId="0" fontId="6" fillId="0" borderId="27" xfId="0" applyFont="1" applyBorder="1" applyAlignment="1">
      <alignment vertical="top" wrapText="1"/>
    </xf>
    <xf numFmtId="9" fontId="2" fillId="2" borderId="1" xfId="0" applyNumberFormat="1" applyFont="1" applyFill="1" applyBorder="1" applyAlignment="1">
      <alignment horizontal="right" vertical="top"/>
    </xf>
    <xf numFmtId="0" fontId="2" fillId="2" borderId="8" xfId="0" applyFont="1" applyFill="1" applyBorder="1" applyAlignment="1">
      <alignment horizontal="right" vertical="center" wrapText="1"/>
    </xf>
    <xf numFmtId="0" fontId="0" fillId="8" borderId="27" xfId="0" applyFill="1" applyBorder="1" applyAlignment="1"/>
    <xf numFmtId="0" fontId="0" fillId="18" borderId="0" xfId="0" applyFill="1" applyBorder="1" applyAlignment="1" applyProtection="1">
      <alignment horizontal="center" vertical="top"/>
      <protection locked="0"/>
    </xf>
    <xf numFmtId="0" fontId="18" fillId="14" borderId="40" xfId="0" applyFont="1" applyFill="1" applyBorder="1" applyAlignment="1">
      <alignment horizontal="center" vertical="center" wrapText="1"/>
    </xf>
    <xf numFmtId="0" fontId="18" fillId="14" borderId="41" xfId="0" applyFont="1" applyFill="1" applyBorder="1" applyAlignment="1">
      <alignment horizontal="center" vertical="center" wrapText="1"/>
    </xf>
    <xf numFmtId="0" fontId="18" fillId="14" borderId="42"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17" fillId="15" borderId="37" xfId="0" applyFont="1" applyFill="1" applyBorder="1" applyAlignment="1">
      <alignment horizontal="right" vertical="center" wrapText="1"/>
    </xf>
    <xf numFmtId="0" fontId="17" fillId="15" borderId="38" xfId="0" applyFont="1" applyFill="1" applyBorder="1" applyAlignment="1">
      <alignment horizontal="right" vertical="center" wrapText="1"/>
    </xf>
    <xf numFmtId="0" fontId="1" fillId="12" borderId="8"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7" fillId="15" borderId="48" xfId="0" applyFont="1" applyFill="1" applyBorder="1" applyAlignment="1">
      <alignment horizontal="right" vertical="center" wrapText="1"/>
    </xf>
    <xf numFmtId="0" fontId="17" fillId="15" borderId="24" xfId="0" applyFont="1" applyFill="1" applyBorder="1" applyAlignment="1">
      <alignment horizontal="right" vertical="center" wrapText="1"/>
    </xf>
    <xf numFmtId="0" fontId="17" fillId="15" borderId="53" xfId="0" applyFont="1" applyFill="1" applyBorder="1" applyAlignment="1">
      <alignment horizontal="right" vertical="center" wrapText="1"/>
    </xf>
    <xf numFmtId="0" fontId="17" fillId="15" borderId="43" xfId="0" applyFont="1" applyFill="1" applyBorder="1" applyAlignment="1">
      <alignment horizontal="right" vertical="center" wrapText="1"/>
    </xf>
    <xf numFmtId="0" fontId="17" fillId="15" borderId="44" xfId="0" applyFont="1" applyFill="1" applyBorder="1" applyAlignment="1">
      <alignment horizontal="right" vertical="center" wrapText="1"/>
    </xf>
    <xf numFmtId="0" fontId="17" fillId="15" borderId="51" xfId="0" applyFont="1" applyFill="1" applyBorder="1" applyAlignment="1">
      <alignment horizontal="right" vertical="center" wrapText="1"/>
    </xf>
    <xf numFmtId="0" fontId="17" fillId="14" borderId="48" xfId="0" applyFont="1" applyFill="1" applyBorder="1" applyAlignment="1">
      <alignment horizontal="right" vertical="center" wrapText="1"/>
    </xf>
    <xf numFmtId="0" fontId="17" fillId="14" borderId="24" xfId="0" applyFont="1" applyFill="1" applyBorder="1" applyAlignment="1">
      <alignment horizontal="right" vertical="center" wrapText="1"/>
    </xf>
    <xf numFmtId="0" fontId="17" fillId="14" borderId="43" xfId="0" applyFont="1" applyFill="1" applyBorder="1" applyAlignment="1">
      <alignment horizontal="right" vertical="center" wrapText="1"/>
    </xf>
    <xf numFmtId="0" fontId="17" fillId="14" borderId="44" xfId="0" applyFont="1" applyFill="1" applyBorder="1" applyAlignment="1">
      <alignment horizontal="right" vertical="center" wrapText="1"/>
    </xf>
    <xf numFmtId="0" fontId="2" fillId="2" borderId="8"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6" fillId="0" borderId="0" xfId="0" applyFont="1" applyAlignment="1">
      <alignment horizontal="left" vertical="center" wrapText="1"/>
    </xf>
    <xf numFmtId="0" fontId="9" fillId="3" borderId="8"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3" borderId="37" xfId="0" applyFont="1" applyFill="1" applyBorder="1" applyAlignment="1">
      <alignment horizontal="left" vertical="top" indent="1"/>
    </xf>
    <xf numFmtId="0" fontId="1" fillId="3" borderId="38" xfId="0" applyFont="1" applyFill="1" applyBorder="1" applyAlignment="1">
      <alignment horizontal="left" vertical="top" indent="1"/>
    </xf>
    <xf numFmtId="0" fontId="1" fillId="3" borderId="39" xfId="0" applyFont="1" applyFill="1" applyBorder="1" applyAlignment="1">
      <alignment horizontal="left" vertical="top" indent="1"/>
    </xf>
    <xf numFmtId="0" fontId="4" fillId="3" borderId="40" xfId="0" applyFont="1" applyFill="1" applyBorder="1" applyAlignment="1">
      <alignment horizontal="left" vertical="top"/>
    </xf>
    <xf numFmtId="0" fontId="4" fillId="3" borderId="41" xfId="0" applyFont="1" applyFill="1" applyBorder="1" applyAlignment="1">
      <alignment horizontal="left" vertical="top"/>
    </xf>
    <xf numFmtId="0" fontId="4" fillId="3" borderId="42"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0" fontId="0" fillId="2" borderId="21" xfId="0" applyFill="1" applyBorder="1" applyAlignment="1">
      <alignment horizontal="left" vertical="top" wrapText="1"/>
    </xf>
    <xf numFmtId="9" fontId="0" fillId="2" borderId="36"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9" fillId="3" borderId="43" xfId="0" applyFont="1" applyFill="1" applyBorder="1" applyAlignment="1">
      <alignment horizontal="left" vertical="top" indent="1"/>
    </xf>
    <xf numFmtId="0" fontId="9" fillId="3" borderId="44" xfId="0" applyFont="1" applyFill="1" applyBorder="1" applyAlignment="1">
      <alignment horizontal="left" vertical="top" indent="1"/>
    </xf>
    <xf numFmtId="0" fontId="9" fillId="3" borderId="45" xfId="0" applyFont="1" applyFill="1" applyBorder="1" applyAlignment="1">
      <alignment horizontal="left" vertical="top" indent="1"/>
    </xf>
    <xf numFmtId="0" fontId="9" fillId="3" borderId="37" xfId="0" applyFont="1" applyFill="1" applyBorder="1" applyAlignment="1">
      <alignment horizontal="left" vertical="top" indent="1"/>
    </xf>
    <xf numFmtId="0" fontId="9" fillId="3" borderId="38" xfId="0" applyFont="1" applyFill="1" applyBorder="1" applyAlignment="1">
      <alignment horizontal="left" vertical="top" indent="1"/>
    </xf>
    <xf numFmtId="0" fontId="9" fillId="3" borderId="39" xfId="0" applyFont="1" applyFill="1" applyBorder="1" applyAlignment="1">
      <alignment horizontal="left" vertical="top" inden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6" fillId="0" borderId="0" xfId="0" applyFont="1" applyAlignment="1">
      <alignment horizontal="left" vertical="top" wrapText="1"/>
    </xf>
    <xf numFmtId="0" fontId="1" fillId="3" borderId="37" xfId="0" applyFont="1" applyFill="1" applyBorder="1" applyAlignment="1">
      <alignment horizontal="center"/>
    </xf>
    <xf numFmtId="0" fontId="1" fillId="3" borderId="38"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48" xfId="0" applyFont="1" applyFill="1" applyBorder="1" applyAlignment="1">
      <alignment horizontal="left"/>
    </xf>
    <xf numFmtId="0" fontId="1" fillId="3" borderId="24" xfId="0" applyFont="1" applyFill="1" applyBorder="1" applyAlignment="1">
      <alignment horizontal="left"/>
    </xf>
    <xf numFmtId="0" fontId="19" fillId="0" borderId="1" xfId="0" applyFont="1" applyBorder="1" applyAlignment="1">
      <alignment horizontal="center"/>
    </xf>
  </cellXfs>
  <cellStyles count="12">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Good" xfId="10" builtinId="26"/>
    <cellStyle name="Hyperlink" xfId="2" builtinId="8" hidden="1"/>
    <cellStyle name="Hyperlink" xfId="4" builtinId="8" hidden="1"/>
    <cellStyle name="Hyperlink" xfId="6" builtinId="8" hidden="1"/>
    <cellStyle name="Hyperlink" xfId="8" builtinId="8" hidden="1"/>
    <cellStyle name="Normal" xfId="0" builtinId="0"/>
    <cellStyle name="Normal 2" xfId="11"/>
  </cellStyles>
  <dxfs count="4">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9" defaultPivotStyle="PivotStyleLight16"/>
  <colors>
    <mruColors>
      <color rgb="FFCCFFCC"/>
      <color rgb="FFD2ECB6"/>
      <color rgb="FFBAE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ampiho/AppData/Local/Microsoft/Windows/Temporary%20Internet%20Files/Content.Outlook/ROOTWLNK/BW_calculator_H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inesse 11.6"/>
      <sheetName val="Voice BW Data"/>
      <sheetName val="Email BW"/>
    </sheetNames>
    <sheetDataSet>
      <sheetData sheetId="0" refreshError="1"/>
      <sheetData sheetId="1">
        <row r="23">
          <cell r="B23">
            <v>0</v>
          </cell>
        </row>
        <row r="27">
          <cell r="B27">
            <v>0.05</v>
          </cell>
        </row>
        <row r="28">
          <cell r="B28">
            <v>0.05</v>
          </cell>
        </row>
        <row r="45">
          <cell r="B45">
            <v>2</v>
          </cell>
        </row>
      </sheetData>
      <sheetData sheetId="2">
        <row r="31">
          <cell r="B31">
            <v>1.3</v>
          </cell>
        </row>
        <row r="33">
          <cell r="B33">
            <v>7</v>
          </cell>
        </row>
        <row r="34">
          <cell r="B34">
            <v>8</v>
          </cell>
        </row>
        <row r="35">
          <cell r="B35">
            <v>10</v>
          </cell>
        </row>
        <row r="36">
          <cell r="B36">
            <v>3</v>
          </cell>
        </row>
        <row r="37">
          <cell r="B37">
            <v>15</v>
          </cell>
        </row>
        <row r="38">
          <cell r="B38">
            <v>8</v>
          </cell>
        </row>
        <row r="39">
          <cell r="B39">
            <v>12</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95" zoomScaleNormal="95" zoomScalePageLayoutView="256" workbookViewId="0">
      <selection activeCell="A16" sqref="A16"/>
    </sheetView>
  </sheetViews>
  <sheetFormatPr defaultColWidth="8.88671875" defaultRowHeight="13.2" x14ac:dyDescent="0.25"/>
  <cols>
    <col min="1" max="1" width="112.88671875" bestFit="1" customWidth="1"/>
  </cols>
  <sheetData>
    <row r="1" spans="1:6" ht="15.6" x14ac:dyDescent="0.25">
      <c r="A1" s="53" t="s">
        <v>344</v>
      </c>
    </row>
    <row r="2" spans="1:6" ht="13.8" thickBot="1" x14ac:dyDescent="0.3">
      <c r="A2" s="302" t="s">
        <v>453</v>
      </c>
    </row>
    <row r="3" spans="1:6" ht="13.8" thickBot="1" x14ac:dyDescent="0.3">
      <c r="A3" s="47"/>
    </row>
    <row r="4" spans="1:6" x14ac:dyDescent="0.25">
      <c r="A4" s="54" t="s">
        <v>65</v>
      </c>
    </row>
    <row r="5" spans="1:6" x14ac:dyDescent="0.25">
      <c r="A5" s="72" t="s">
        <v>128</v>
      </c>
    </row>
    <row r="6" spans="1:6" ht="25.5" customHeight="1" x14ac:dyDescent="0.25">
      <c r="A6" s="72" t="s">
        <v>454</v>
      </c>
    </row>
    <row r="7" spans="1:6" ht="25.5" customHeight="1" x14ac:dyDescent="0.25">
      <c r="A7" s="72" t="s">
        <v>455</v>
      </c>
    </row>
    <row r="8" spans="1:6" ht="38.25" customHeight="1" x14ac:dyDescent="0.25">
      <c r="A8" s="169" t="s">
        <v>160</v>
      </c>
    </row>
    <row r="9" spans="1:6" ht="13.8" thickBot="1" x14ac:dyDescent="0.3">
      <c r="A9" s="48"/>
    </row>
    <row r="10" spans="1:6" x14ac:dyDescent="0.25">
      <c r="A10" s="69" t="s">
        <v>64</v>
      </c>
    </row>
    <row r="11" spans="1:6" ht="39.6" x14ac:dyDescent="0.25">
      <c r="A11" s="70" t="s">
        <v>129</v>
      </c>
    </row>
    <row r="12" spans="1:6" ht="23.25" customHeight="1" x14ac:dyDescent="0.25">
      <c r="A12" s="70" t="s">
        <v>456</v>
      </c>
    </row>
    <row r="13" spans="1:6" ht="26.4" x14ac:dyDescent="0.25">
      <c r="A13" s="70" t="s">
        <v>457</v>
      </c>
    </row>
    <row r="14" spans="1:6" ht="26.4" x14ac:dyDescent="0.25">
      <c r="A14" s="70" t="s">
        <v>469</v>
      </c>
    </row>
    <row r="15" spans="1:6" ht="26.4" x14ac:dyDescent="0.25">
      <c r="A15" s="304" t="s">
        <v>468</v>
      </c>
    </row>
    <row r="16" spans="1:6" ht="13.8" thickBot="1" x14ac:dyDescent="0.3">
      <c r="A16" s="304" t="s">
        <v>473</v>
      </c>
      <c r="B16" s="301"/>
      <c r="F16" s="303"/>
    </row>
    <row r="17" spans="1:1" ht="66.599999999999994" thickBot="1" x14ac:dyDescent="0.3">
      <c r="A17" s="305" t="s">
        <v>470</v>
      </c>
    </row>
    <row r="18" spans="1:1" x14ac:dyDescent="0.25">
      <c r="A18" s="48"/>
    </row>
  </sheetData>
  <sheetProtection algorithmName="SHA-512" hashValue="ptKOI0sHh0U46ibVp0UPrIz0a9zgm40WHxmNMD2vhqyvJr8Q4FLKH8/NW3KTz4bIuaoYNvBIT2B8HsW6V5rvRw==" saltValue="rsG8rzhXJdO49GhrHMC0LQ==" spinCount="100000" sheet="1" objects="1" scenarios="1" selectLockedCells="1"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50"/>
  <sheetViews>
    <sheetView workbookViewId="0"/>
  </sheetViews>
  <sheetFormatPr defaultColWidth="9.109375" defaultRowHeight="13.2" x14ac:dyDescent="0.25"/>
  <cols>
    <col min="1" max="1" width="44" style="7" customWidth="1"/>
    <col min="2" max="2" width="36.5546875" style="7" bestFit="1" customWidth="1"/>
    <col min="3" max="3" width="37.109375" style="7" bestFit="1" customWidth="1"/>
    <col min="4" max="4" width="27.6640625" style="7" bestFit="1" customWidth="1"/>
    <col min="5" max="16384" width="9.109375" style="7"/>
  </cols>
  <sheetData>
    <row r="1" spans="1:3" ht="26.4" x14ac:dyDescent="0.25">
      <c r="A1" s="243" t="s">
        <v>292</v>
      </c>
      <c r="B1" s="243"/>
      <c r="C1" s="243"/>
    </row>
    <row r="2" spans="1:3" x14ac:dyDescent="0.25">
      <c r="A2" s="243" t="s">
        <v>293</v>
      </c>
      <c r="B2" s="243" t="s">
        <v>174</v>
      </c>
      <c r="C2" s="243"/>
    </row>
    <row r="3" spans="1:3" x14ac:dyDescent="0.25">
      <c r="A3" s="72" t="s">
        <v>294</v>
      </c>
      <c r="B3" s="179">
        <f>'Bandwidth Calculator'!C103</f>
        <v>1</v>
      </c>
      <c r="C3" s="72" t="s">
        <v>298</v>
      </c>
    </row>
    <row r="4" spans="1:3" x14ac:dyDescent="0.25">
      <c r="A4" s="72" t="s">
        <v>400</v>
      </c>
      <c r="B4" s="179">
        <f>'Bandwidth Calculator'!C104</f>
        <v>1000</v>
      </c>
      <c r="C4" s="72" t="s">
        <v>298</v>
      </c>
    </row>
    <row r="5" spans="1:3" x14ac:dyDescent="0.25">
      <c r="A5" s="72" t="s">
        <v>401</v>
      </c>
      <c r="B5" s="179">
        <f>'Bandwidth Calculator'!C105</f>
        <v>20</v>
      </c>
      <c r="C5" s="72" t="s">
        <v>298</v>
      </c>
    </row>
    <row r="6" spans="1:3" x14ac:dyDescent="0.25">
      <c r="A6" s="72" t="s">
        <v>402</v>
      </c>
      <c r="B6" s="179">
        <f>'Bandwidth Calculator'!C106</f>
        <v>0.25</v>
      </c>
      <c r="C6" s="72" t="s">
        <v>299</v>
      </c>
    </row>
    <row r="7" spans="1:3" x14ac:dyDescent="0.25">
      <c r="A7" s="72" t="s">
        <v>403</v>
      </c>
      <c r="B7" s="179">
        <f>'Bandwidth Calculator'!C107</f>
        <v>2</v>
      </c>
      <c r="C7" s="72" t="s">
        <v>299</v>
      </c>
    </row>
    <row r="8" spans="1:3" x14ac:dyDescent="0.25">
      <c r="A8" s="72" t="s">
        <v>395</v>
      </c>
      <c r="B8" s="179">
        <f>'Bandwidth Calculator'!C108</f>
        <v>0</v>
      </c>
      <c r="C8" s="72"/>
    </row>
    <row r="9" spans="1:3" x14ac:dyDescent="0.25">
      <c r="A9" s="72" t="s">
        <v>396</v>
      </c>
      <c r="B9" s="179">
        <f>'Bandwidth Calculator'!C109</f>
        <v>0</v>
      </c>
      <c r="C9" s="72"/>
    </row>
    <row r="10" spans="1:3" x14ac:dyDescent="0.25">
      <c r="A10" s="72" t="s">
        <v>359</v>
      </c>
      <c r="B10" s="179">
        <f>'Bandwidth Calculator'!C110</f>
        <v>1</v>
      </c>
      <c r="C10" s="72"/>
    </row>
    <row r="11" spans="1:3" x14ac:dyDescent="0.25">
      <c r="A11" s="72" t="s">
        <v>360</v>
      </c>
      <c r="B11" s="179">
        <f>'Bandwidth Calculator'!C111</f>
        <v>1</v>
      </c>
      <c r="C11" s="72"/>
    </row>
    <row r="12" spans="1:3" x14ac:dyDescent="0.25">
      <c r="A12" s="72" t="s">
        <v>397</v>
      </c>
      <c r="B12" s="179">
        <f>'Bandwidth Calculator'!C112</f>
        <v>1</v>
      </c>
      <c r="C12" s="72"/>
    </row>
    <row r="13" spans="1:3" x14ac:dyDescent="0.25">
      <c r="A13" s="72" t="s">
        <v>295</v>
      </c>
      <c r="B13" s="179">
        <f>'Bandwidth Calculator'!C113</f>
        <v>300</v>
      </c>
      <c r="C13" s="72"/>
    </row>
    <row r="14" spans="1:3" x14ac:dyDescent="0.25">
      <c r="A14" s="246"/>
      <c r="B14" s="246"/>
      <c r="C14" s="246"/>
    </row>
    <row r="15" spans="1:3" x14ac:dyDescent="0.25">
      <c r="A15" s="246"/>
      <c r="B15" s="246"/>
      <c r="C15" s="246"/>
    </row>
    <row r="16" spans="1:3" x14ac:dyDescent="0.25">
      <c r="A16" s="246"/>
      <c r="B16" s="246"/>
      <c r="C16" s="246"/>
    </row>
    <row r="18" spans="1:4" ht="14.25" customHeight="1" x14ac:dyDescent="0.25">
      <c r="A18" s="249" t="s">
        <v>389</v>
      </c>
      <c r="B18" s="249" t="s">
        <v>382</v>
      </c>
      <c r="C18" s="249"/>
      <c r="D18" s="249"/>
    </row>
    <row r="19" spans="1:4" ht="26.4" x14ac:dyDescent="0.25">
      <c r="A19" s="249"/>
      <c r="B19" s="249" t="s">
        <v>378</v>
      </c>
      <c r="C19" s="249" t="s">
        <v>379</v>
      </c>
      <c r="D19" s="249" t="s">
        <v>380</v>
      </c>
    </row>
    <row r="20" spans="1:4" ht="14.4" x14ac:dyDescent="0.3">
      <c r="A20" s="245" t="s">
        <v>381</v>
      </c>
      <c r="B20" s="245">
        <v>158.30000000000001</v>
      </c>
      <c r="C20" s="245">
        <v>190</v>
      </c>
      <c r="D20" s="245">
        <v>150</v>
      </c>
    </row>
    <row r="21" spans="1:4" ht="14.4" x14ac:dyDescent="0.3">
      <c r="A21" s="245" t="s">
        <v>383</v>
      </c>
      <c r="B21" s="245">
        <v>38.6</v>
      </c>
      <c r="C21" s="245">
        <v>63</v>
      </c>
      <c r="D21" s="245">
        <v>15</v>
      </c>
    </row>
    <row r="22" spans="1:4" ht="14.4" x14ac:dyDescent="0.3">
      <c r="A22" s="245" t="s">
        <v>384</v>
      </c>
      <c r="B22" s="245">
        <v>571</v>
      </c>
      <c r="C22" s="245">
        <v>156</v>
      </c>
      <c r="D22" s="245">
        <v>281</v>
      </c>
    </row>
    <row r="23" spans="1:4" ht="14.4" x14ac:dyDescent="0.3">
      <c r="A23" s="245" t="s">
        <v>385</v>
      </c>
      <c r="B23" s="245">
        <v>1E-3</v>
      </c>
      <c r="C23" s="245">
        <v>10</v>
      </c>
      <c r="D23" s="245">
        <v>1</v>
      </c>
    </row>
    <row r="24" spans="1:4" ht="14.4" x14ac:dyDescent="0.3">
      <c r="A24" s="294"/>
      <c r="B24" s="294"/>
      <c r="C24" s="294"/>
      <c r="D24" s="294"/>
    </row>
    <row r="25" spans="1:4" x14ac:dyDescent="0.25">
      <c r="A25" s="249" t="s">
        <v>386</v>
      </c>
      <c r="B25" s="249"/>
      <c r="C25" s="249"/>
      <c r="D25" s="249"/>
    </row>
    <row r="26" spans="1:4" ht="14.4" x14ac:dyDescent="0.3">
      <c r="A26" s="244"/>
      <c r="B26" s="369" t="s">
        <v>387</v>
      </c>
      <c r="C26" s="369"/>
      <c r="D26" s="369"/>
    </row>
    <row r="27" spans="1:4" ht="14.4" x14ac:dyDescent="0.3">
      <c r="A27" s="245" t="s">
        <v>388</v>
      </c>
      <c r="B27" s="245"/>
      <c r="C27" s="245">
        <v>230</v>
      </c>
      <c r="D27" s="245"/>
    </row>
    <row r="31" spans="1:4" x14ac:dyDescent="0.25">
      <c r="A31" s="249" t="s">
        <v>391</v>
      </c>
      <c r="B31" s="249" t="s">
        <v>399</v>
      </c>
      <c r="C31" s="250" t="s">
        <v>184</v>
      </c>
      <c r="D31" s="247"/>
    </row>
    <row r="32" spans="1:4" ht="14.4" x14ac:dyDescent="0.3">
      <c r="A32" s="245" t="s">
        <v>390</v>
      </c>
      <c r="B32" s="245">
        <f>((B20/D20)*1000*B3*B4)/8000</f>
        <v>131.91666666666669</v>
      </c>
      <c r="C32" s="245"/>
      <c r="D32" s="248"/>
    </row>
    <row r="33" spans="1:4" ht="14.4" x14ac:dyDescent="0.3">
      <c r="A33" s="245" t="s">
        <v>392</v>
      </c>
      <c r="B33" s="245">
        <f>((B21/D21)*1000*B8*B9)/3000</f>
        <v>0</v>
      </c>
      <c r="C33" s="245"/>
      <c r="D33" s="248"/>
    </row>
    <row r="34" spans="1:4" ht="14.4" x14ac:dyDescent="0.3">
      <c r="A34" s="245" t="s">
        <v>394</v>
      </c>
      <c r="B34" s="245">
        <f>((B22/D22)*1000*B10)</f>
        <v>2032.0284697508896</v>
      </c>
      <c r="C34" s="245"/>
      <c r="D34" s="248"/>
    </row>
    <row r="35" spans="1:4" ht="14.4" x14ac:dyDescent="0.3">
      <c r="A35" s="245" t="s">
        <v>393</v>
      </c>
      <c r="B35" s="245">
        <f>((B23/D23)*1000*B11)</f>
        <v>1</v>
      </c>
      <c r="C35" s="245"/>
      <c r="D35" s="248"/>
    </row>
    <row r="36" spans="1:4" ht="14.4" x14ac:dyDescent="0.3">
      <c r="A36" s="245" t="s">
        <v>398</v>
      </c>
      <c r="B36" s="245">
        <f>((B12*B13)/100)*C27</f>
        <v>690</v>
      </c>
      <c r="C36" s="245"/>
    </row>
    <row r="37" spans="1:4" ht="14.4" x14ac:dyDescent="0.3">
      <c r="A37" s="245" t="s">
        <v>7</v>
      </c>
      <c r="B37" s="287">
        <f>SUM(B32:B36)*8</f>
        <v>22839.561091340449</v>
      </c>
      <c r="C37" s="245" t="s">
        <v>8</v>
      </c>
    </row>
    <row r="49" spans="1:3" x14ac:dyDescent="0.25">
      <c r="A49" s="7" t="s">
        <v>315</v>
      </c>
      <c r="C49" s="7" t="s">
        <v>316</v>
      </c>
    </row>
    <row r="50" spans="1:3" x14ac:dyDescent="0.25">
      <c r="A50" s="7" t="s">
        <v>317</v>
      </c>
    </row>
  </sheetData>
  <sheetProtection algorithmName="SHA-512" hashValue="aaAQ7s6AhMVh4K88XNb49F3sRNxrvl1TOkcUoWaph0wkqy8RAPhX1fOIMOxzkJJOMRTXU+qhh42imPoul029xw==" saltValue="llwyOcQSbjGq+7bg7W7AwQ==" spinCount="100000" sheet="1" objects="1" scenarios="1" selectLockedCells="1" selectUnlockedCells="1"/>
  <mergeCells count="1">
    <mergeCell ref="B26:D2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ColWidth="33.88671875" defaultRowHeight="13.2" x14ac:dyDescent="0.25"/>
  <cols>
    <col min="1" max="1" width="33" bestFit="1" customWidth="1"/>
    <col min="2" max="2" width="14.44140625" bestFit="1" customWidth="1"/>
    <col min="3" max="3" width="64.33203125" customWidth="1"/>
  </cols>
  <sheetData>
    <row r="1" spans="1:3" x14ac:dyDescent="0.25">
      <c r="A1" s="198" t="s">
        <v>467</v>
      </c>
      <c r="B1" s="198"/>
      <c r="C1" s="198"/>
    </row>
    <row r="2" spans="1:3" x14ac:dyDescent="0.25">
      <c r="A2" s="198" t="s">
        <v>175</v>
      </c>
      <c r="B2" s="198" t="s">
        <v>174</v>
      </c>
      <c r="C2" s="198" t="s">
        <v>184</v>
      </c>
    </row>
    <row r="3" spans="1:3" x14ac:dyDescent="0.25">
      <c r="A3" s="227" t="s">
        <v>217</v>
      </c>
      <c r="B3" s="228">
        <f>'Bandwidth Calculator'!C117</f>
        <v>5</v>
      </c>
      <c r="C3" s="227" t="s">
        <v>223</v>
      </c>
    </row>
    <row r="4" spans="1:3" x14ac:dyDescent="0.25">
      <c r="A4" s="226" t="s">
        <v>288</v>
      </c>
      <c r="B4" s="226" t="s">
        <v>201</v>
      </c>
      <c r="C4" s="198" t="s">
        <v>184</v>
      </c>
    </row>
    <row r="5" spans="1:3" x14ac:dyDescent="0.25">
      <c r="A5" s="182" t="s">
        <v>363</v>
      </c>
      <c r="B5" s="196">
        <v>0.5</v>
      </c>
      <c r="C5" s="227" t="s">
        <v>8</v>
      </c>
    </row>
    <row r="6" spans="1:3" x14ac:dyDescent="0.25">
      <c r="A6" s="226" t="s">
        <v>63</v>
      </c>
      <c r="B6" s="226"/>
      <c r="C6" s="198"/>
    </row>
    <row r="7" spans="1:3" x14ac:dyDescent="0.25">
      <c r="A7" s="226"/>
      <c r="B7" s="226" t="s">
        <v>167</v>
      </c>
      <c r="C7" s="198" t="s">
        <v>184</v>
      </c>
    </row>
    <row r="8" spans="1:3" x14ac:dyDescent="0.25">
      <c r="A8" s="200" t="s">
        <v>364</v>
      </c>
      <c r="B8" s="196">
        <f>B5*B3</f>
        <v>2.5</v>
      </c>
      <c r="C8" s="227" t="s">
        <v>8</v>
      </c>
    </row>
  </sheetData>
  <sheetProtection algorithmName="SHA-512" hashValue="FUghxraeF2tXX6WmbKZf7w6iRGpNN5lqQx/q37cNb91+q2SI//gFBsK6bWDEZdqQ5bgTn7rJX+/nyPPqh6UQNw==" saltValue="obgBS+8ekGLphVS8/fZbbw=="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29"/>
  <sheetViews>
    <sheetView tabSelected="1" zoomScale="80" zoomScaleNormal="80" zoomScalePageLayoutView="200" workbookViewId="0">
      <pane ySplit="4" topLeftCell="A5" activePane="bottomLeft" state="frozen"/>
      <selection pane="bottomLeft" activeCell="C10" sqref="C10"/>
    </sheetView>
  </sheetViews>
  <sheetFormatPr defaultColWidth="8.88671875" defaultRowHeight="13.2" x14ac:dyDescent="0.25"/>
  <cols>
    <col min="1" max="1" width="71.5546875" style="181" customWidth="1"/>
    <col min="2" max="2" width="22" style="211" hidden="1" customWidth="1"/>
    <col min="3" max="3" width="18" style="211" bestFit="1" customWidth="1"/>
    <col min="4" max="4" width="26" style="181" customWidth="1"/>
    <col min="5" max="5" width="130.33203125" style="181" bestFit="1" customWidth="1"/>
    <col min="6" max="6" width="11.88671875" style="181" customWidth="1"/>
    <col min="7" max="9" width="12.44140625" style="181" bestFit="1" customWidth="1"/>
    <col min="10" max="16384" width="8.88671875" style="181"/>
  </cols>
  <sheetData>
    <row r="1" spans="1:6" ht="44.25" customHeight="1" thickBot="1" x14ac:dyDescent="0.3">
      <c r="A1" s="310" t="s">
        <v>426</v>
      </c>
      <c r="B1" s="311"/>
      <c r="C1" s="311"/>
      <c r="D1" s="311"/>
      <c r="E1" s="311"/>
      <c r="F1" s="312"/>
    </row>
    <row r="2" spans="1:6" ht="12.75" hidden="1" customHeight="1" x14ac:dyDescent="0.25">
      <c r="A2" s="262"/>
      <c r="B2" s="263"/>
      <c r="C2" s="263"/>
      <c r="D2" s="264"/>
      <c r="E2" s="264"/>
      <c r="F2" s="265"/>
    </row>
    <row r="3" spans="1:6" ht="24" customHeight="1" x14ac:dyDescent="0.25">
      <c r="A3" s="325" t="s">
        <v>63</v>
      </c>
      <c r="B3" s="326"/>
      <c r="C3" s="326"/>
      <c r="D3" s="296" t="s">
        <v>471</v>
      </c>
      <c r="E3" s="297">
        <f>(E114+E100+E77+E66+E48+E14+E6) *D119</f>
        <v>314741.4225704085</v>
      </c>
      <c r="F3" s="298" t="s">
        <v>8</v>
      </c>
    </row>
    <row r="4" spans="1:6" ht="62.4" x14ac:dyDescent="0.25">
      <c r="A4" s="327"/>
      <c r="B4" s="328"/>
      <c r="C4" s="328"/>
      <c r="D4" s="296" t="s">
        <v>472</v>
      </c>
      <c r="E4" s="297">
        <f>(E92+E84+E67)*D119</f>
        <v>1627.6583333333331</v>
      </c>
      <c r="F4" s="298" t="s">
        <v>8</v>
      </c>
    </row>
    <row r="5" spans="1:6" ht="12.75" customHeight="1" x14ac:dyDescent="0.25">
      <c r="A5" s="299"/>
      <c r="B5" s="288"/>
      <c r="C5" s="299"/>
      <c r="D5" s="299"/>
      <c r="E5" s="289"/>
      <c r="F5" s="289"/>
    </row>
    <row r="6" spans="1:6" ht="26.25" customHeight="1" x14ac:dyDescent="0.25">
      <c r="A6" s="319" t="s">
        <v>421</v>
      </c>
      <c r="B6" s="320"/>
      <c r="C6" s="321"/>
      <c r="D6" s="255" t="s">
        <v>418</v>
      </c>
      <c r="E6" s="295">
        <f>' Finesse Desktop BW'!B53</f>
        <v>101300.466176</v>
      </c>
      <c r="F6" s="259" t="s">
        <v>8</v>
      </c>
    </row>
    <row r="7" spans="1:6" ht="26.25" customHeight="1" x14ac:dyDescent="0.25">
      <c r="A7" s="322"/>
      <c r="B7" s="323"/>
      <c r="C7" s="324"/>
      <c r="D7" s="255" t="s">
        <v>419</v>
      </c>
      <c r="E7" s="295">
        <f>' Finesse Desktop BW'!B54</f>
        <v>83604.600213333339</v>
      </c>
      <c r="F7" s="259" t="s">
        <v>8</v>
      </c>
    </row>
    <row r="8" spans="1:6" ht="31.2" x14ac:dyDescent="0.25">
      <c r="A8" s="271" t="s">
        <v>46</v>
      </c>
      <c r="B8" s="272" t="s">
        <v>159</v>
      </c>
      <c r="C8" s="272" t="s">
        <v>174</v>
      </c>
      <c r="D8" s="272" t="s">
        <v>11</v>
      </c>
      <c r="E8" s="313" t="s">
        <v>10</v>
      </c>
      <c r="F8" s="314"/>
    </row>
    <row r="9" spans="1:6" ht="15.9" customHeight="1" x14ac:dyDescent="0.25">
      <c r="A9" s="271" t="s">
        <v>2</v>
      </c>
      <c r="B9" s="272"/>
      <c r="C9" s="313"/>
      <c r="D9" s="313"/>
      <c r="E9" s="313"/>
      <c r="F9" s="314"/>
    </row>
    <row r="10" spans="1:6" ht="12.75" customHeight="1" x14ac:dyDescent="0.25">
      <c r="A10" s="212" t="s">
        <v>1</v>
      </c>
      <c r="B10" s="213">
        <v>300</v>
      </c>
      <c r="C10" s="290">
        <v>200</v>
      </c>
      <c r="D10" s="214" t="s">
        <v>23</v>
      </c>
      <c r="E10" s="253" t="s">
        <v>153</v>
      </c>
      <c r="F10" s="279"/>
    </row>
    <row r="11" spans="1:6" ht="12.75" customHeight="1" x14ac:dyDescent="0.25">
      <c r="A11" s="212" t="s">
        <v>30</v>
      </c>
      <c r="B11" s="213">
        <v>30</v>
      </c>
      <c r="C11" s="290">
        <v>8</v>
      </c>
      <c r="D11" s="214" t="s">
        <v>31</v>
      </c>
      <c r="E11" s="253" t="s">
        <v>34</v>
      </c>
      <c r="F11" s="279"/>
    </row>
    <row r="12" spans="1:6" ht="12.75" hidden="1" customHeight="1" thickBot="1" x14ac:dyDescent="0.3">
      <c r="A12" s="220" t="s">
        <v>69</v>
      </c>
      <c r="B12" s="224">
        <v>0</v>
      </c>
      <c r="C12" s="290">
        <v>0</v>
      </c>
      <c r="D12" s="225" t="s">
        <v>32</v>
      </c>
      <c r="E12" s="239" t="s">
        <v>33</v>
      </c>
      <c r="F12" s="279"/>
    </row>
    <row r="13" spans="1:6" ht="73.5" customHeight="1" x14ac:dyDescent="0.25">
      <c r="A13" s="256" t="s">
        <v>121</v>
      </c>
      <c r="B13" s="215">
        <v>1</v>
      </c>
      <c r="C13" s="290">
        <v>5</v>
      </c>
      <c r="D13" s="216" t="s">
        <v>120</v>
      </c>
      <c r="E13" s="253" t="s">
        <v>154</v>
      </c>
      <c r="F13" s="279"/>
    </row>
    <row r="14" spans="1:6" ht="24.6" x14ac:dyDescent="0.25">
      <c r="A14" s="315" t="s">
        <v>422</v>
      </c>
      <c r="B14" s="316"/>
      <c r="C14" s="316"/>
      <c r="D14" s="266"/>
      <c r="E14" s="295">
        <f>' Finesse Desktop BW'!B80</f>
        <v>4006.1582079999998</v>
      </c>
      <c r="F14" s="259" t="s">
        <v>8</v>
      </c>
    </row>
    <row r="15" spans="1:6" ht="15.9" customHeight="1" x14ac:dyDescent="0.25">
      <c r="A15" s="271" t="s">
        <v>20</v>
      </c>
      <c r="B15" s="272"/>
      <c r="C15" s="272" t="s">
        <v>174</v>
      </c>
      <c r="D15" s="272" t="s">
        <v>11</v>
      </c>
      <c r="E15" s="273" t="s">
        <v>10</v>
      </c>
      <c r="F15" s="280"/>
    </row>
    <row r="16" spans="1:6" ht="12.75" customHeight="1" x14ac:dyDescent="0.25">
      <c r="A16" s="212" t="s">
        <v>53</v>
      </c>
      <c r="B16" s="260">
        <v>6000</v>
      </c>
      <c r="C16" s="290">
        <v>6000</v>
      </c>
      <c r="D16" s="239" t="s">
        <v>54</v>
      </c>
      <c r="E16" s="253" t="s">
        <v>67</v>
      </c>
      <c r="F16" s="281"/>
    </row>
    <row r="17" spans="1:9" ht="12.75" customHeight="1" x14ac:dyDescent="0.25">
      <c r="A17" s="212" t="s">
        <v>55</v>
      </c>
      <c r="B17" s="260">
        <v>30</v>
      </c>
      <c r="C17" s="290">
        <v>30</v>
      </c>
      <c r="D17" s="239" t="s">
        <v>24</v>
      </c>
      <c r="E17" s="253"/>
      <c r="F17" s="281"/>
    </row>
    <row r="18" spans="1:9" ht="15.9" customHeight="1" x14ac:dyDescent="0.25">
      <c r="A18" s="271" t="s">
        <v>39</v>
      </c>
      <c r="B18" s="272"/>
      <c r="C18" s="272"/>
      <c r="D18" s="272"/>
      <c r="E18" s="273"/>
      <c r="F18" s="280"/>
      <c r="H18" s="217"/>
      <c r="I18" s="217"/>
    </row>
    <row r="19" spans="1:9" ht="12.75" customHeight="1" x14ac:dyDescent="0.25">
      <c r="A19" s="218" t="s">
        <v>3</v>
      </c>
      <c r="B19" s="219">
        <v>0.3</v>
      </c>
      <c r="C19" s="291">
        <v>0.9</v>
      </c>
      <c r="D19" s="214" t="s">
        <v>35</v>
      </c>
      <c r="E19" s="253" t="s">
        <v>36</v>
      </c>
      <c r="F19" s="281"/>
      <c r="H19" s="217"/>
      <c r="I19" s="217"/>
    </row>
    <row r="20" spans="1:9" ht="12.75" customHeight="1" x14ac:dyDescent="0.25">
      <c r="A20" s="218" t="s">
        <v>4</v>
      </c>
      <c r="B20" s="219">
        <v>0.3</v>
      </c>
      <c r="C20" s="291">
        <v>0.06</v>
      </c>
      <c r="D20" s="214" t="s">
        <v>35</v>
      </c>
      <c r="E20" s="253"/>
      <c r="F20" s="281"/>
      <c r="H20" s="217"/>
      <c r="I20" s="217"/>
    </row>
    <row r="21" spans="1:9" ht="12.75" hidden="1" customHeight="1" x14ac:dyDescent="0.25">
      <c r="A21" s="220" t="s">
        <v>70</v>
      </c>
      <c r="B21" s="221">
        <v>0</v>
      </c>
      <c r="C21" s="292">
        <v>0</v>
      </c>
      <c r="D21" s="225" t="s">
        <v>35</v>
      </c>
      <c r="E21" s="253" t="s">
        <v>37</v>
      </c>
      <c r="F21" s="281"/>
      <c r="H21" s="217"/>
      <c r="I21" s="217"/>
    </row>
    <row r="22" spans="1:9" ht="12.75" customHeight="1" x14ac:dyDescent="0.25">
      <c r="A22" s="218" t="s">
        <v>5</v>
      </c>
      <c r="B22" s="219">
        <v>0.1</v>
      </c>
      <c r="C22" s="291">
        <v>0.02</v>
      </c>
      <c r="D22" s="214" t="s">
        <v>35</v>
      </c>
      <c r="E22" s="253"/>
      <c r="F22" s="281"/>
      <c r="H22" s="217"/>
      <c r="I22" s="217"/>
    </row>
    <row r="23" spans="1:9" ht="12.75" hidden="1" customHeight="1" x14ac:dyDescent="0.25">
      <c r="A23" s="212" t="s">
        <v>148</v>
      </c>
      <c r="B23" s="219">
        <v>0</v>
      </c>
      <c r="C23" s="291">
        <v>0</v>
      </c>
      <c r="D23" s="214" t="s">
        <v>35</v>
      </c>
      <c r="E23" s="253"/>
      <c r="F23" s="281"/>
      <c r="H23" s="217"/>
      <c r="I23" s="217"/>
    </row>
    <row r="24" spans="1:9" ht="12.75" customHeight="1" x14ac:dyDescent="0.25">
      <c r="A24" s="218" t="s">
        <v>6</v>
      </c>
      <c r="B24" s="219">
        <v>0.3</v>
      </c>
      <c r="C24" s="291">
        <v>0.02</v>
      </c>
      <c r="D24" s="214" t="s">
        <v>35</v>
      </c>
      <c r="E24" s="253" t="s">
        <v>38</v>
      </c>
      <c r="F24" s="281"/>
      <c r="H24" s="217"/>
      <c r="I24" s="217"/>
    </row>
    <row r="25" spans="1:9" ht="12.75" customHeight="1" x14ac:dyDescent="0.25">
      <c r="A25" s="307" t="s">
        <v>7</v>
      </c>
      <c r="B25" s="219"/>
      <c r="C25" s="306">
        <f>SUM(C19:C24)</f>
        <v>1</v>
      </c>
      <c r="D25" s="214"/>
      <c r="E25" s="253"/>
      <c r="F25" s="281"/>
      <c r="H25" s="217"/>
      <c r="I25" s="217"/>
    </row>
    <row r="26" spans="1:9" ht="12.75" customHeight="1" x14ac:dyDescent="0.25">
      <c r="A26" s="212" t="s">
        <v>108</v>
      </c>
      <c r="B26" s="219">
        <v>0.1</v>
      </c>
      <c r="C26" s="291">
        <v>0.01</v>
      </c>
      <c r="D26" s="214" t="s">
        <v>35</v>
      </c>
      <c r="E26" s="253"/>
      <c r="F26" s="281"/>
      <c r="H26" s="217"/>
      <c r="I26" s="217"/>
    </row>
    <row r="27" spans="1:9" ht="12.75" customHeight="1" x14ac:dyDescent="0.25">
      <c r="A27" s="212" t="s">
        <v>146</v>
      </c>
      <c r="B27" s="219">
        <v>0.05</v>
      </c>
      <c r="C27" s="291">
        <v>0.01</v>
      </c>
      <c r="D27" s="214" t="s">
        <v>35</v>
      </c>
      <c r="E27" s="253" t="s">
        <v>150</v>
      </c>
      <c r="F27" s="281"/>
      <c r="H27" s="217"/>
      <c r="I27" s="217"/>
    </row>
    <row r="28" spans="1:9" ht="12.75" customHeight="1" x14ac:dyDescent="0.25">
      <c r="A28" s="212" t="s">
        <v>147</v>
      </c>
      <c r="B28" s="219">
        <v>0.05</v>
      </c>
      <c r="C28" s="291">
        <v>0.01</v>
      </c>
      <c r="D28" s="214" t="s">
        <v>35</v>
      </c>
      <c r="E28" s="253" t="s">
        <v>151</v>
      </c>
      <c r="F28" s="281"/>
      <c r="H28" s="217"/>
      <c r="I28" s="217"/>
    </row>
    <row r="29" spans="1:9" s="211" customFormat="1" ht="15.9" customHeight="1" x14ac:dyDescent="0.25">
      <c r="A29" s="275" t="s">
        <v>460</v>
      </c>
      <c r="B29" s="276"/>
      <c r="C29" s="276"/>
      <c r="D29" s="276"/>
      <c r="E29" s="276"/>
      <c r="F29" s="280"/>
      <c r="H29" s="274"/>
      <c r="I29" s="274"/>
    </row>
    <row r="30" spans="1:9" ht="12.75" hidden="1" customHeight="1" x14ac:dyDescent="0.25">
      <c r="A30" s="220" t="s">
        <v>81</v>
      </c>
      <c r="B30" s="224">
        <v>5</v>
      </c>
      <c r="C30" s="224">
        <v>5</v>
      </c>
      <c r="D30" s="225" t="s">
        <v>9</v>
      </c>
      <c r="E30" s="222" t="s">
        <v>49</v>
      </c>
      <c r="F30" s="281"/>
      <c r="H30" s="217"/>
      <c r="I30" s="217"/>
    </row>
    <row r="31" spans="1:9" ht="12.75" customHeight="1" x14ac:dyDescent="0.25">
      <c r="A31" s="212" t="s">
        <v>79</v>
      </c>
      <c r="B31" s="213">
        <v>30</v>
      </c>
      <c r="C31" s="290">
        <v>30</v>
      </c>
      <c r="D31" s="223" t="s">
        <v>23</v>
      </c>
      <c r="E31" s="253" t="s">
        <v>114</v>
      </c>
      <c r="F31" s="281"/>
      <c r="H31" s="217"/>
      <c r="I31" s="217"/>
    </row>
    <row r="32" spans="1:9" ht="12.75" hidden="1" customHeight="1" thickBot="1" x14ac:dyDescent="0.3">
      <c r="A32" s="212" t="s">
        <v>156</v>
      </c>
      <c r="B32" s="213">
        <v>0</v>
      </c>
      <c r="C32" s="213">
        <v>0</v>
      </c>
      <c r="D32" s="214" t="s">
        <v>9</v>
      </c>
      <c r="E32" s="252" t="s">
        <v>113</v>
      </c>
      <c r="F32" s="281"/>
      <c r="H32" s="217"/>
      <c r="I32" s="217"/>
    </row>
    <row r="33" spans="1:9" ht="12.75" hidden="1" customHeight="1" x14ac:dyDescent="0.25">
      <c r="A33" s="334" t="s">
        <v>76</v>
      </c>
      <c r="B33" s="335"/>
      <c r="C33" s="335"/>
      <c r="D33" s="335"/>
      <c r="E33" s="336"/>
      <c r="F33" s="281"/>
      <c r="H33" s="217"/>
      <c r="I33" s="217"/>
    </row>
    <row r="34" spans="1:9" ht="12.75" hidden="1" customHeight="1" x14ac:dyDescent="0.25">
      <c r="A34" s="220" t="s">
        <v>72</v>
      </c>
      <c r="B34" s="224">
        <v>17</v>
      </c>
      <c r="C34" s="224">
        <v>17</v>
      </c>
      <c r="D34" s="225" t="s">
        <v>25</v>
      </c>
      <c r="E34" s="222" t="s">
        <v>66</v>
      </c>
      <c r="F34" s="281"/>
      <c r="H34" s="217"/>
      <c r="I34" s="217"/>
    </row>
    <row r="35" spans="1:9" ht="12.75" hidden="1" customHeight="1" x14ac:dyDescent="0.25">
      <c r="A35" s="220" t="s">
        <v>73</v>
      </c>
      <c r="B35" s="224">
        <v>10</v>
      </c>
      <c r="C35" s="224">
        <v>10</v>
      </c>
      <c r="D35" s="225" t="s">
        <v>24</v>
      </c>
      <c r="E35" s="222" t="s">
        <v>41</v>
      </c>
      <c r="F35" s="281"/>
      <c r="H35" s="217"/>
      <c r="I35" s="217"/>
    </row>
    <row r="36" spans="1:9" ht="12.75" hidden="1" customHeight="1" x14ac:dyDescent="0.25">
      <c r="A36" s="334" t="s">
        <v>77</v>
      </c>
      <c r="B36" s="335"/>
      <c r="C36" s="335"/>
      <c r="D36" s="335"/>
      <c r="E36" s="336"/>
      <c r="F36" s="281"/>
      <c r="H36" s="217"/>
      <c r="I36" s="217"/>
    </row>
    <row r="37" spans="1:9" ht="12.75" hidden="1" customHeight="1" x14ac:dyDescent="0.25">
      <c r="A37" s="220" t="s">
        <v>74</v>
      </c>
      <c r="B37" s="224">
        <v>6</v>
      </c>
      <c r="C37" s="224">
        <v>6</v>
      </c>
      <c r="D37" s="225" t="s">
        <v>25</v>
      </c>
      <c r="E37" s="222" t="s">
        <v>29</v>
      </c>
      <c r="F37" s="281"/>
      <c r="H37" s="217"/>
      <c r="I37" s="217"/>
    </row>
    <row r="38" spans="1:9" ht="12.75" hidden="1" customHeight="1" x14ac:dyDescent="0.25">
      <c r="A38" s="220" t="s">
        <v>75</v>
      </c>
      <c r="B38" s="224" t="e">
        <f>Average_Call_Duration_v801</f>
        <v>#NAME?</v>
      </c>
      <c r="C38" s="224" t="e">
        <f>Average_Call_Duration_v801</f>
        <v>#NAME?</v>
      </c>
      <c r="D38" s="225" t="s">
        <v>24</v>
      </c>
      <c r="E38" s="222" t="s">
        <v>45</v>
      </c>
      <c r="F38" s="281"/>
      <c r="H38" s="217"/>
      <c r="I38" s="217"/>
    </row>
    <row r="39" spans="1:9" ht="12.75" hidden="1" customHeight="1" thickBot="1" x14ac:dyDescent="0.3">
      <c r="A39" s="212" t="s">
        <v>155</v>
      </c>
      <c r="B39" s="213">
        <v>0</v>
      </c>
      <c r="C39" s="213">
        <v>0</v>
      </c>
      <c r="D39" s="214" t="s">
        <v>9</v>
      </c>
      <c r="E39" s="252"/>
      <c r="F39" s="281"/>
      <c r="H39" s="217"/>
      <c r="I39" s="217"/>
    </row>
    <row r="40" spans="1:9" s="211" customFormat="1" ht="12.75" customHeight="1" x14ac:dyDescent="0.25">
      <c r="A40" s="277" t="s">
        <v>21</v>
      </c>
      <c r="B40" s="278"/>
      <c r="C40" s="278"/>
      <c r="D40" s="278"/>
      <c r="E40" s="278"/>
      <c r="F40" s="280"/>
      <c r="H40" s="274"/>
      <c r="I40" s="274"/>
    </row>
    <row r="41" spans="1:9" ht="12.75" customHeight="1" x14ac:dyDescent="0.25">
      <c r="A41" s="212" t="s">
        <v>19</v>
      </c>
      <c r="B41" s="213">
        <v>1</v>
      </c>
      <c r="C41" s="290">
        <v>2</v>
      </c>
      <c r="D41" s="223" t="s">
        <v>12</v>
      </c>
      <c r="E41" s="253" t="s">
        <v>47</v>
      </c>
      <c r="F41" s="281"/>
      <c r="H41" s="217"/>
      <c r="I41" s="217"/>
    </row>
    <row r="42" spans="1:9" ht="12.75" customHeight="1" x14ac:dyDescent="0.25">
      <c r="A42" s="212" t="s">
        <v>48</v>
      </c>
      <c r="B42" s="213">
        <v>640</v>
      </c>
      <c r="C42" s="290">
        <v>640</v>
      </c>
      <c r="D42" s="223" t="s">
        <v>13</v>
      </c>
      <c r="E42" s="253" t="s">
        <v>50</v>
      </c>
      <c r="F42" s="281"/>
      <c r="H42" s="217"/>
      <c r="I42" s="217"/>
    </row>
    <row r="43" spans="1:9" ht="12.75" customHeight="1" x14ac:dyDescent="0.25">
      <c r="A43" s="212" t="s">
        <v>57</v>
      </c>
      <c r="B43" s="213">
        <v>1970</v>
      </c>
      <c r="C43" s="290">
        <v>1500</v>
      </c>
      <c r="D43" s="223" t="s">
        <v>13</v>
      </c>
      <c r="E43" s="253" t="s">
        <v>52</v>
      </c>
      <c r="F43" s="281"/>
      <c r="H43" s="217"/>
      <c r="I43" s="217"/>
    </row>
    <row r="44" spans="1:9" s="211" customFormat="1" ht="12.75" customHeight="1" x14ac:dyDescent="0.25">
      <c r="A44" s="277" t="s">
        <v>22</v>
      </c>
      <c r="B44" s="278"/>
      <c r="C44" s="278"/>
      <c r="D44" s="278"/>
      <c r="E44" s="278"/>
      <c r="F44" s="280"/>
      <c r="H44" s="274"/>
      <c r="I44" s="274"/>
    </row>
    <row r="45" spans="1:9" ht="12.75" customHeight="1" x14ac:dyDescent="0.25">
      <c r="A45" s="212" t="s">
        <v>145</v>
      </c>
      <c r="B45" s="213">
        <v>2</v>
      </c>
      <c r="C45" s="290">
        <v>2</v>
      </c>
      <c r="D45" s="223" t="s">
        <v>12</v>
      </c>
      <c r="E45" s="253" t="s">
        <v>144</v>
      </c>
      <c r="F45" s="281"/>
      <c r="H45" s="217"/>
      <c r="I45" s="217"/>
    </row>
    <row r="46" spans="1:9" ht="12.75" customHeight="1" x14ac:dyDescent="0.25">
      <c r="A46" s="212" t="s">
        <v>58</v>
      </c>
      <c r="B46" s="213">
        <v>100</v>
      </c>
      <c r="C46" s="290">
        <v>100</v>
      </c>
      <c r="D46" s="223" t="s">
        <v>13</v>
      </c>
      <c r="E46" s="253" t="s">
        <v>68</v>
      </c>
      <c r="F46" s="281"/>
      <c r="H46" s="217"/>
      <c r="I46" s="217"/>
    </row>
    <row r="47" spans="1:9" ht="43.5" customHeight="1" x14ac:dyDescent="0.25">
      <c r="A47" s="319" t="s">
        <v>423</v>
      </c>
      <c r="B47" s="320"/>
      <c r="C47" s="320"/>
      <c r="D47" s="255" t="s">
        <v>450</v>
      </c>
      <c r="E47" s="295">
        <f>'Finesse LD Report BW Data'!B28</f>
        <v>10354688</v>
      </c>
      <c r="F47" s="259" t="s">
        <v>8</v>
      </c>
      <c r="H47" s="217"/>
      <c r="I47" s="217"/>
    </row>
    <row r="48" spans="1:9" ht="43.5" customHeight="1" x14ac:dyDescent="0.25">
      <c r="A48" s="322"/>
      <c r="B48" s="323"/>
      <c r="C48" s="323"/>
      <c r="D48" s="255" t="s">
        <v>451</v>
      </c>
      <c r="E48" s="295">
        <f>'Finesse LD Report BW Data'!B25</f>
        <v>123481.60000000001</v>
      </c>
      <c r="F48" s="259" t="s">
        <v>8</v>
      </c>
      <c r="H48" s="217"/>
      <c r="I48" s="217"/>
    </row>
    <row r="49" spans="1:9" ht="12.75" customHeight="1" x14ac:dyDescent="0.25">
      <c r="A49" s="267" t="s">
        <v>416</v>
      </c>
      <c r="B49" s="268"/>
      <c r="C49" s="269" t="s">
        <v>174</v>
      </c>
      <c r="D49" s="269" t="s">
        <v>11</v>
      </c>
      <c r="E49" s="270" t="s">
        <v>10</v>
      </c>
      <c r="F49" s="282"/>
      <c r="H49" s="217"/>
      <c r="I49" s="217"/>
    </row>
    <row r="50" spans="1:9" ht="12.75" customHeight="1" x14ac:dyDescent="0.25">
      <c r="A50" s="212" t="s">
        <v>300</v>
      </c>
      <c r="B50" s="213"/>
      <c r="C50" s="290" t="s">
        <v>412</v>
      </c>
      <c r="D50" s="223" t="s">
        <v>413</v>
      </c>
      <c r="E50" s="253" t="s">
        <v>414</v>
      </c>
      <c r="F50" s="281"/>
      <c r="H50" s="217"/>
      <c r="I50" s="217"/>
    </row>
    <row r="51" spans="1:9" ht="12.75" customHeight="1" x14ac:dyDescent="0.25">
      <c r="A51" s="212" t="s">
        <v>301</v>
      </c>
      <c r="B51" s="213"/>
      <c r="C51" s="290" t="s">
        <v>412</v>
      </c>
      <c r="D51" s="223" t="s">
        <v>413</v>
      </c>
      <c r="E51" s="253" t="s">
        <v>414</v>
      </c>
      <c r="F51" s="281"/>
      <c r="H51" s="217"/>
      <c r="I51" s="217"/>
    </row>
    <row r="52" spans="1:9" ht="12.75" customHeight="1" x14ac:dyDescent="0.25">
      <c r="A52" s="212" t="s">
        <v>302</v>
      </c>
      <c r="B52" s="213"/>
      <c r="C52" s="290" t="s">
        <v>449</v>
      </c>
      <c r="D52" s="223" t="s">
        <v>413</v>
      </c>
      <c r="E52" s="253" t="s">
        <v>414</v>
      </c>
      <c r="F52" s="281"/>
      <c r="H52" s="217"/>
      <c r="I52" s="217"/>
    </row>
    <row r="53" spans="1:9" ht="12.75" customHeight="1" x14ac:dyDescent="0.25">
      <c r="A53" s="212" t="s">
        <v>303</v>
      </c>
      <c r="B53" s="213"/>
      <c r="C53" s="290" t="s">
        <v>412</v>
      </c>
      <c r="D53" s="223" t="s">
        <v>413</v>
      </c>
      <c r="E53" s="253" t="s">
        <v>414</v>
      </c>
      <c r="F53" s="281"/>
      <c r="H53" s="217"/>
      <c r="I53" s="217"/>
    </row>
    <row r="54" spans="1:9" ht="12.75" customHeight="1" x14ac:dyDescent="0.25">
      <c r="A54" s="212" t="s">
        <v>304</v>
      </c>
      <c r="B54" s="213"/>
      <c r="C54" s="290" t="s">
        <v>449</v>
      </c>
      <c r="D54" s="223" t="s">
        <v>413</v>
      </c>
      <c r="E54" s="253" t="s">
        <v>414</v>
      </c>
      <c r="F54" s="281"/>
      <c r="H54" s="217"/>
      <c r="I54" s="217"/>
    </row>
    <row r="55" spans="1:9" ht="12.75" customHeight="1" x14ac:dyDescent="0.25">
      <c r="A55" s="267" t="s">
        <v>417</v>
      </c>
      <c r="B55" s="268"/>
      <c r="C55" s="269"/>
      <c r="D55" s="269"/>
      <c r="E55" s="270"/>
      <c r="F55" s="283"/>
      <c r="H55" s="217"/>
      <c r="I55" s="217"/>
    </row>
    <row r="56" spans="1:9" ht="12.75" customHeight="1" x14ac:dyDescent="0.25">
      <c r="A56" s="212" t="s">
        <v>305</v>
      </c>
      <c r="B56" s="213"/>
      <c r="C56" s="290" t="s">
        <v>449</v>
      </c>
      <c r="D56" s="223" t="s">
        <v>413</v>
      </c>
      <c r="E56" s="253" t="s">
        <v>415</v>
      </c>
      <c r="F56" s="281"/>
      <c r="H56" s="217"/>
      <c r="I56" s="217"/>
    </row>
    <row r="57" spans="1:9" ht="12.75" customHeight="1" x14ac:dyDescent="0.25">
      <c r="A57" s="212" t="s">
        <v>306</v>
      </c>
      <c r="B57" s="213"/>
      <c r="C57" s="290" t="s">
        <v>449</v>
      </c>
      <c r="D57" s="223" t="s">
        <v>413</v>
      </c>
      <c r="E57" s="253" t="s">
        <v>415</v>
      </c>
      <c r="F57" s="281"/>
      <c r="H57" s="217"/>
      <c r="I57" s="217"/>
    </row>
    <row r="58" spans="1:9" ht="12.75" customHeight="1" x14ac:dyDescent="0.25">
      <c r="A58" s="212" t="s">
        <v>307</v>
      </c>
      <c r="B58" s="213"/>
      <c r="C58" s="290" t="s">
        <v>449</v>
      </c>
      <c r="D58" s="223" t="s">
        <v>413</v>
      </c>
      <c r="E58" s="253" t="s">
        <v>415</v>
      </c>
      <c r="F58" s="281"/>
      <c r="H58" s="217"/>
      <c r="I58" s="217"/>
    </row>
    <row r="59" spans="1:9" ht="12.75" customHeight="1" x14ac:dyDescent="0.25">
      <c r="A59" s="212" t="s">
        <v>308</v>
      </c>
      <c r="B59" s="213"/>
      <c r="C59" s="290" t="s">
        <v>412</v>
      </c>
      <c r="D59" s="223" t="s">
        <v>413</v>
      </c>
      <c r="E59" s="253" t="s">
        <v>415</v>
      </c>
      <c r="F59" s="281"/>
      <c r="H59" s="217"/>
      <c r="I59" s="217"/>
    </row>
    <row r="60" spans="1:9" ht="12.75" customHeight="1" x14ac:dyDescent="0.25">
      <c r="A60" s="212" t="s">
        <v>309</v>
      </c>
      <c r="B60" s="213"/>
      <c r="C60" s="290" t="s">
        <v>412</v>
      </c>
      <c r="D60" s="223" t="s">
        <v>413</v>
      </c>
      <c r="E60" s="253" t="s">
        <v>415</v>
      </c>
      <c r="F60" s="281"/>
      <c r="H60" s="217"/>
      <c r="I60" s="217"/>
    </row>
    <row r="61" spans="1:9" ht="12.75" customHeight="1" x14ac:dyDescent="0.25">
      <c r="A61" s="212" t="s">
        <v>310</v>
      </c>
      <c r="B61" s="213"/>
      <c r="C61" s="290" t="s">
        <v>449</v>
      </c>
      <c r="D61" s="223" t="s">
        <v>413</v>
      </c>
      <c r="E61" s="253" t="s">
        <v>415</v>
      </c>
      <c r="F61" s="281"/>
      <c r="H61" s="217"/>
      <c r="I61" s="217"/>
    </row>
    <row r="62" spans="1:9" ht="12.75" customHeight="1" x14ac:dyDescent="0.25">
      <c r="A62" s="212" t="s">
        <v>311</v>
      </c>
      <c r="B62" s="213"/>
      <c r="C62" s="290" t="s">
        <v>449</v>
      </c>
      <c r="D62" s="223" t="s">
        <v>413</v>
      </c>
      <c r="E62" s="253" t="s">
        <v>415</v>
      </c>
      <c r="F62" s="281"/>
      <c r="H62" s="217"/>
      <c r="I62" s="217"/>
    </row>
    <row r="63" spans="1:9" ht="12.75" customHeight="1" x14ac:dyDescent="0.25">
      <c r="A63" s="212" t="s">
        <v>312</v>
      </c>
      <c r="B63" s="213"/>
      <c r="C63" s="290" t="s">
        <v>412</v>
      </c>
      <c r="D63" s="223" t="s">
        <v>413</v>
      </c>
      <c r="E63" s="253" t="s">
        <v>415</v>
      </c>
      <c r="F63" s="281"/>
      <c r="H63" s="217"/>
      <c r="I63" s="217"/>
    </row>
    <row r="64" spans="1:9" ht="12.75" customHeight="1" x14ac:dyDescent="0.25">
      <c r="A64" s="212" t="s">
        <v>313</v>
      </c>
      <c r="B64" s="213"/>
      <c r="C64" s="290" t="s">
        <v>412</v>
      </c>
      <c r="D64" s="223" t="s">
        <v>413</v>
      </c>
      <c r="E64" s="253" t="s">
        <v>415</v>
      </c>
      <c r="F64" s="281"/>
      <c r="H64" s="217"/>
      <c r="I64" s="217"/>
    </row>
    <row r="65" spans="1:9" ht="12.75" customHeight="1" x14ac:dyDescent="0.25">
      <c r="A65" s="212"/>
      <c r="B65" s="213"/>
      <c r="C65" s="213"/>
      <c r="D65" s="223"/>
      <c r="E65" s="253"/>
      <c r="F65" s="281"/>
      <c r="H65" s="217"/>
      <c r="I65" s="217"/>
    </row>
    <row r="66" spans="1:9" ht="31.5" customHeight="1" x14ac:dyDescent="0.25">
      <c r="A66" s="319" t="s">
        <v>346</v>
      </c>
      <c r="B66" s="320"/>
      <c r="C66" s="320"/>
      <c r="D66" s="255" t="s">
        <v>458</v>
      </c>
      <c r="E66" s="295">
        <f>'Email BW Data'!B69</f>
        <v>2490.6777777777779</v>
      </c>
      <c r="F66" s="259" t="s">
        <v>8</v>
      </c>
    </row>
    <row r="67" spans="1:9" ht="31.2" x14ac:dyDescent="0.25">
      <c r="A67" s="322"/>
      <c r="B67" s="323"/>
      <c r="C67" s="323"/>
      <c r="D67" s="255" t="s">
        <v>459</v>
      </c>
      <c r="E67" s="295">
        <f>'Email BW Data'!B78</f>
        <v>1124.6111111111111</v>
      </c>
      <c r="F67" s="259" t="s">
        <v>8</v>
      </c>
    </row>
    <row r="68" spans="1:9" ht="12.75" customHeight="1" x14ac:dyDescent="0.25">
      <c r="A68" s="317" t="s">
        <v>176</v>
      </c>
      <c r="B68" s="318"/>
      <c r="C68" s="269"/>
      <c r="D68" s="269"/>
      <c r="E68" s="270"/>
      <c r="F68" s="283"/>
    </row>
    <row r="69" spans="1:9" ht="12.75" customHeight="1" x14ac:dyDescent="0.25">
      <c r="A69" s="317" t="s">
        <v>358</v>
      </c>
      <c r="B69" s="318"/>
      <c r="C69" s="269" t="s">
        <v>174</v>
      </c>
      <c r="D69" s="269" t="s">
        <v>11</v>
      </c>
      <c r="E69" s="270" t="s">
        <v>10</v>
      </c>
      <c r="F69" s="283"/>
    </row>
    <row r="70" spans="1:9" ht="12.75" customHeight="1" x14ac:dyDescent="0.25">
      <c r="A70" s="261" t="s">
        <v>178</v>
      </c>
      <c r="B70" s="223"/>
      <c r="C70" s="290">
        <v>20</v>
      </c>
      <c r="D70" s="239" t="s">
        <v>371</v>
      </c>
      <c r="E70" s="253" t="s">
        <v>351</v>
      </c>
      <c r="F70" s="281"/>
    </row>
    <row r="71" spans="1:9" ht="12.75" customHeight="1" x14ac:dyDescent="0.25">
      <c r="A71" s="261" t="s">
        <v>172</v>
      </c>
      <c r="B71" s="223"/>
      <c r="C71" s="290">
        <v>1</v>
      </c>
      <c r="D71" s="239" t="s">
        <v>371</v>
      </c>
      <c r="E71" s="253" t="s">
        <v>427</v>
      </c>
      <c r="F71" s="281"/>
    </row>
    <row r="72" spans="1:9" ht="12.75" customHeight="1" x14ac:dyDescent="0.25">
      <c r="A72" s="261" t="s">
        <v>169</v>
      </c>
      <c r="B72" s="223"/>
      <c r="C72" s="290">
        <v>10</v>
      </c>
      <c r="D72" s="239" t="s">
        <v>35</v>
      </c>
      <c r="E72" s="253" t="s">
        <v>428</v>
      </c>
      <c r="F72" s="281"/>
    </row>
    <row r="73" spans="1:9" ht="12.75" customHeight="1" x14ac:dyDescent="0.25">
      <c r="A73" s="261" t="s">
        <v>249</v>
      </c>
      <c r="B73" s="223"/>
      <c r="C73" s="290">
        <v>600</v>
      </c>
      <c r="D73" s="239" t="s">
        <v>223</v>
      </c>
      <c r="E73" s="253" t="s">
        <v>350</v>
      </c>
      <c r="F73" s="281"/>
    </row>
    <row r="74" spans="1:9" ht="12.75" customHeight="1" x14ac:dyDescent="0.25">
      <c r="A74" s="261" t="s">
        <v>182</v>
      </c>
      <c r="B74" s="223"/>
      <c r="C74" s="290">
        <v>60</v>
      </c>
      <c r="D74" s="300" t="s">
        <v>185</v>
      </c>
      <c r="E74" s="253" t="s">
        <v>466</v>
      </c>
      <c r="F74" s="281"/>
    </row>
    <row r="75" spans="1:9" ht="12.75" customHeight="1" x14ac:dyDescent="0.25">
      <c r="A75" s="261" t="s">
        <v>420</v>
      </c>
      <c r="B75" s="223"/>
      <c r="C75" s="290">
        <v>35</v>
      </c>
      <c r="D75" s="239" t="s">
        <v>223</v>
      </c>
      <c r="E75" s="253" t="s">
        <v>349</v>
      </c>
      <c r="F75" s="281"/>
    </row>
    <row r="76" spans="1:9" ht="12.75" customHeight="1" x14ac:dyDescent="0.25">
      <c r="A76" s="261" t="s">
        <v>235</v>
      </c>
      <c r="B76" s="223"/>
      <c r="C76" s="290">
        <v>5</v>
      </c>
      <c r="D76" s="239" t="s">
        <v>223</v>
      </c>
      <c r="E76" s="253" t="s">
        <v>345</v>
      </c>
      <c r="F76" s="281"/>
    </row>
    <row r="77" spans="1:9" ht="32.25" customHeight="1" x14ac:dyDescent="0.25">
      <c r="A77" s="315" t="s">
        <v>347</v>
      </c>
      <c r="B77" s="316"/>
      <c r="C77" s="316"/>
      <c r="D77" s="255" t="s">
        <v>458</v>
      </c>
      <c r="E77" s="295">
        <f>'Chat BW Data'!B29</f>
        <v>8163.5555555555557</v>
      </c>
      <c r="F77" s="259" t="s">
        <v>8</v>
      </c>
    </row>
    <row r="78" spans="1:9" ht="12.75" customHeight="1" x14ac:dyDescent="0.25">
      <c r="A78" s="317" t="s">
        <v>207</v>
      </c>
      <c r="B78" s="318"/>
      <c r="C78" s="269"/>
      <c r="D78" s="269"/>
      <c r="E78" s="270"/>
      <c r="F78" s="283"/>
    </row>
    <row r="79" spans="1:9" ht="12.75" customHeight="1" x14ac:dyDescent="0.25">
      <c r="A79" s="317" t="s">
        <v>358</v>
      </c>
      <c r="B79" s="318"/>
      <c r="C79" s="269" t="s">
        <v>174</v>
      </c>
      <c r="D79" s="269" t="s">
        <v>11</v>
      </c>
      <c r="E79" s="270" t="s">
        <v>10</v>
      </c>
      <c r="F79" s="283"/>
    </row>
    <row r="80" spans="1:9" ht="12.75" customHeight="1" x14ac:dyDescent="0.25">
      <c r="A80" s="261" t="s">
        <v>208</v>
      </c>
      <c r="B80" s="223"/>
      <c r="C80" s="290">
        <v>3200</v>
      </c>
      <c r="D80" s="239" t="s">
        <v>223</v>
      </c>
      <c r="E80" s="253" t="s">
        <v>348</v>
      </c>
      <c r="F80" s="281"/>
    </row>
    <row r="81" spans="1:6" ht="12.75" customHeight="1" x14ac:dyDescent="0.25">
      <c r="A81" s="261" t="s">
        <v>209</v>
      </c>
      <c r="B81" s="223"/>
      <c r="C81" s="290">
        <v>10</v>
      </c>
      <c r="D81" s="239" t="s">
        <v>35</v>
      </c>
      <c r="E81" s="253" t="s">
        <v>352</v>
      </c>
      <c r="F81" s="281"/>
    </row>
    <row r="82" spans="1:6" ht="12.75" customHeight="1" x14ac:dyDescent="0.25">
      <c r="A82" s="261" t="s">
        <v>214</v>
      </c>
      <c r="B82" s="223"/>
      <c r="C82" s="290">
        <v>20</v>
      </c>
      <c r="D82" s="239" t="s">
        <v>223</v>
      </c>
      <c r="E82" s="253" t="s">
        <v>353</v>
      </c>
      <c r="F82" s="281"/>
    </row>
    <row r="83" spans="1:6" ht="12.75" customHeight="1" x14ac:dyDescent="0.25">
      <c r="A83" s="261" t="s">
        <v>233</v>
      </c>
      <c r="B83" s="223"/>
      <c r="C83" s="290">
        <v>100</v>
      </c>
      <c r="D83" s="239" t="s">
        <v>234</v>
      </c>
      <c r="E83" s="253" t="s">
        <v>354</v>
      </c>
      <c r="F83" s="281"/>
    </row>
    <row r="84" spans="1:6" ht="26.25" customHeight="1" x14ac:dyDescent="0.25">
      <c r="A84" s="315" t="s">
        <v>410</v>
      </c>
      <c r="B84" s="316"/>
      <c r="C84" s="316"/>
      <c r="D84" s="266"/>
      <c r="E84" s="295">
        <f>'EDBS BW Data'!B23</f>
        <v>87.326388888888886</v>
      </c>
      <c r="F84" s="259" t="s">
        <v>8</v>
      </c>
    </row>
    <row r="85" spans="1:6" ht="12.75" customHeight="1" x14ac:dyDescent="0.25">
      <c r="A85" s="267" t="s">
        <v>289</v>
      </c>
      <c r="B85" s="269"/>
      <c r="C85" s="269"/>
      <c r="D85" s="269"/>
      <c r="E85" s="270"/>
      <c r="F85" s="283"/>
    </row>
    <row r="86" spans="1:6" ht="12.75" customHeight="1" x14ac:dyDescent="0.25">
      <c r="A86" s="267" t="s">
        <v>358</v>
      </c>
      <c r="B86" s="269"/>
      <c r="C86" s="269" t="s">
        <v>174</v>
      </c>
      <c r="D86" s="269" t="s">
        <v>184</v>
      </c>
      <c r="E86" s="270"/>
      <c r="F86" s="283"/>
    </row>
    <row r="87" spans="1:6" ht="12.75" customHeight="1" x14ac:dyDescent="0.25">
      <c r="A87" s="261" t="s">
        <v>217</v>
      </c>
      <c r="B87" s="223"/>
      <c r="C87" s="290">
        <v>200</v>
      </c>
      <c r="D87" s="239" t="s">
        <v>223</v>
      </c>
      <c r="E87" s="253" t="s">
        <v>436</v>
      </c>
      <c r="F87" s="281"/>
    </row>
    <row r="88" spans="1:6" ht="12.75" customHeight="1" x14ac:dyDescent="0.25">
      <c r="A88" s="261" t="s">
        <v>270</v>
      </c>
      <c r="B88" s="223"/>
      <c r="C88" s="290">
        <v>10</v>
      </c>
      <c r="D88" s="239" t="s">
        <v>224</v>
      </c>
      <c r="E88" s="253" t="s">
        <v>429</v>
      </c>
      <c r="F88" s="281"/>
    </row>
    <row r="89" spans="1:6" ht="12.75" customHeight="1" x14ac:dyDescent="0.25">
      <c r="A89" s="261" t="s">
        <v>275</v>
      </c>
      <c r="B89" s="223"/>
      <c r="C89" s="290">
        <v>200</v>
      </c>
      <c r="D89" s="239" t="s">
        <v>291</v>
      </c>
      <c r="E89" s="253"/>
      <c r="F89" s="281"/>
    </row>
    <row r="90" spans="1:6" ht="12.75" customHeight="1" x14ac:dyDescent="0.25">
      <c r="A90" s="261" t="s">
        <v>276</v>
      </c>
      <c r="B90" s="223"/>
      <c r="C90" s="290">
        <v>500</v>
      </c>
      <c r="D90" s="239" t="s">
        <v>291</v>
      </c>
      <c r="E90" s="253"/>
      <c r="F90" s="281"/>
    </row>
    <row r="91" spans="1:6" ht="12.75" customHeight="1" x14ac:dyDescent="0.25">
      <c r="A91" s="261" t="s">
        <v>279</v>
      </c>
      <c r="B91" s="223"/>
      <c r="C91" s="290">
        <v>2</v>
      </c>
      <c r="D91" s="239" t="s">
        <v>223</v>
      </c>
      <c r="E91" s="253" t="s">
        <v>356</v>
      </c>
      <c r="F91" s="281"/>
    </row>
    <row r="92" spans="1:6" ht="26.25" customHeight="1" x14ac:dyDescent="0.25">
      <c r="A92" s="315" t="s">
        <v>411</v>
      </c>
      <c r="B92" s="316"/>
      <c r="C92" s="316"/>
      <c r="D92" s="266"/>
      <c r="E92" s="295">
        <f>'REST APIs BW Data'!B23</f>
        <v>144.44444444444446</v>
      </c>
      <c r="F92" s="259" t="s">
        <v>8</v>
      </c>
    </row>
    <row r="93" spans="1:6" x14ac:dyDescent="0.25">
      <c r="A93" s="267" t="s">
        <v>287</v>
      </c>
      <c r="B93" s="269"/>
      <c r="C93" s="269"/>
      <c r="D93" s="269"/>
      <c r="E93" s="270"/>
      <c r="F93" s="283"/>
    </row>
    <row r="94" spans="1:6" x14ac:dyDescent="0.25">
      <c r="A94" s="267" t="s">
        <v>358</v>
      </c>
      <c r="B94" s="269"/>
      <c r="C94" s="269" t="s">
        <v>174</v>
      </c>
      <c r="D94" s="269" t="s">
        <v>184</v>
      </c>
      <c r="E94" s="270"/>
      <c r="F94" s="283"/>
    </row>
    <row r="95" spans="1:6" x14ac:dyDescent="0.25">
      <c r="A95" s="261" t="s">
        <v>217</v>
      </c>
      <c r="B95" s="223"/>
      <c r="C95" s="290">
        <v>200</v>
      </c>
      <c r="D95" s="239" t="s">
        <v>223</v>
      </c>
      <c r="E95" s="253" t="s">
        <v>435</v>
      </c>
      <c r="F95" s="281"/>
    </row>
    <row r="96" spans="1:6" x14ac:dyDescent="0.25">
      <c r="A96" s="261" t="s">
        <v>270</v>
      </c>
      <c r="B96" s="223"/>
      <c r="C96" s="290">
        <v>10</v>
      </c>
      <c r="D96" s="239" t="s">
        <v>224</v>
      </c>
      <c r="E96" s="253"/>
      <c r="F96" s="281"/>
    </row>
    <row r="97" spans="1:6" x14ac:dyDescent="0.25">
      <c r="A97" s="261" t="s">
        <v>278</v>
      </c>
      <c r="B97" s="223"/>
      <c r="C97" s="290">
        <v>128</v>
      </c>
      <c r="D97" s="239" t="s">
        <v>291</v>
      </c>
      <c r="E97" s="253"/>
      <c r="F97" s="281"/>
    </row>
    <row r="98" spans="1:6" x14ac:dyDescent="0.25">
      <c r="A98" s="261" t="s">
        <v>277</v>
      </c>
      <c r="B98" s="223"/>
      <c r="C98" s="290">
        <v>128</v>
      </c>
      <c r="D98" s="239" t="s">
        <v>291</v>
      </c>
      <c r="E98" s="253"/>
      <c r="F98" s="281"/>
    </row>
    <row r="99" spans="1:6" x14ac:dyDescent="0.25">
      <c r="A99" s="331" t="s">
        <v>280</v>
      </c>
      <c r="B99" s="332"/>
      <c r="C99" s="290">
        <v>2</v>
      </c>
      <c r="D99" s="239" t="s">
        <v>223</v>
      </c>
      <c r="E99" s="253" t="s">
        <v>355</v>
      </c>
      <c r="F99" s="281"/>
    </row>
    <row r="100" spans="1:6" ht="24.6" x14ac:dyDescent="0.25">
      <c r="A100" s="315" t="s">
        <v>424</v>
      </c>
      <c r="B100" s="316"/>
      <c r="C100" s="316"/>
      <c r="D100" s="241"/>
      <c r="E100" s="295">
        <f>'CUIC Reporting BW Data'!B37</f>
        <v>22839.561091340449</v>
      </c>
      <c r="F100" s="259" t="s">
        <v>8</v>
      </c>
    </row>
    <row r="101" spans="1:6" x14ac:dyDescent="0.25">
      <c r="A101" s="267" t="s">
        <v>357</v>
      </c>
      <c r="B101" s="269"/>
      <c r="C101" s="269"/>
      <c r="D101" s="269"/>
      <c r="E101" s="270"/>
      <c r="F101" s="283"/>
    </row>
    <row r="102" spans="1:6" ht="12.75" customHeight="1" x14ac:dyDescent="0.25">
      <c r="A102" s="267" t="s">
        <v>358</v>
      </c>
      <c r="B102" s="269"/>
      <c r="C102" s="269" t="s">
        <v>174</v>
      </c>
      <c r="D102" s="269" t="s">
        <v>184</v>
      </c>
      <c r="E102" s="270"/>
      <c r="F102" s="283"/>
    </row>
    <row r="103" spans="1:6" x14ac:dyDescent="0.25">
      <c r="A103" s="329" t="s">
        <v>294</v>
      </c>
      <c r="B103" s="330"/>
      <c r="C103" s="290">
        <v>1</v>
      </c>
      <c r="D103" s="72" t="s">
        <v>298</v>
      </c>
      <c r="E103" s="253"/>
      <c r="F103" s="281"/>
    </row>
    <row r="104" spans="1:6" x14ac:dyDescent="0.25">
      <c r="A104" s="329" t="s">
        <v>404</v>
      </c>
      <c r="B104" s="330"/>
      <c r="C104" s="290">
        <v>1000</v>
      </c>
      <c r="D104" s="72" t="s">
        <v>298</v>
      </c>
      <c r="E104" s="253"/>
      <c r="F104" s="281"/>
    </row>
    <row r="105" spans="1:6" x14ac:dyDescent="0.25">
      <c r="A105" s="329" t="s">
        <v>405</v>
      </c>
      <c r="B105" s="330"/>
      <c r="C105" s="290">
        <v>20</v>
      </c>
      <c r="D105" s="72" t="s">
        <v>298</v>
      </c>
      <c r="E105" s="253"/>
      <c r="F105" s="281"/>
    </row>
    <row r="106" spans="1:6" x14ac:dyDescent="0.25">
      <c r="A106" s="329" t="s">
        <v>296</v>
      </c>
      <c r="B106" s="330"/>
      <c r="C106" s="290">
        <v>0.25</v>
      </c>
      <c r="D106" s="72" t="s">
        <v>299</v>
      </c>
      <c r="E106" s="253"/>
      <c r="F106" s="281"/>
    </row>
    <row r="107" spans="1:6" x14ac:dyDescent="0.25">
      <c r="A107" s="329" t="s">
        <v>297</v>
      </c>
      <c r="B107" s="330"/>
      <c r="C107" s="290">
        <v>2</v>
      </c>
      <c r="D107" s="72" t="s">
        <v>299</v>
      </c>
      <c r="E107" s="253"/>
      <c r="F107" s="281"/>
    </row>
    <row r="108" spans="1:6" x14ac:dyDescent="0.25">
      <c r="A108" s="329" t="s">
        <v>395</v>
      </c>
      <c r="B108" s="330"/>
      <c r="C108" s="290">
        <v>0</v>
      </c>
      <c r="D108" s="72" t="s">
        <v>298</v>
      </c>
      <c r="E108" s="253"/>
      <c r="F108" s="281"/>
    </row>
    <row r="109" spans="1:6" x14ac:dyDescent="0.25">
      <c r="A109" s="329" t="s">
        <v>406</v>
      </c>
      <c r="B109" s="330"/>
      <c r="C109" s="290">
        <v>0</v>
      </c>
      <c r="D109" s="72" t="s">
        <v>298</v>
      </c>
      <c r="E109" s="253"/>
      <c r="F109" s="281"/>
    </row>
    <row r="110" spans="1:6" x14ac:dyDescent="0.25">
      <c r="A110" s="329" t="s">
        <v>359</v>
      </c>
      <c r="B110" s="330"/>
      <c r="C110" s="290">
        <v>1</v>
      </c>
      <c r="D110" s="72" t="s">
        <v>298</v>
      </c>
      <c r="E110" s="253"/>
      <c r="F110" s="281"/>
    </row>
    <row r="111" spans="1:6" x14ac:dyDescent="0.25">
      <c r="A111" s="329" t="s">
        <v>360</v>
      </c>
      <c r="B111" s="330"/>
      <c r="C111" s="290">
        <v>1</v>
      </c>
      <c r="D111" s="72" t="s">
        <v>298</v>
      </c>
      <c r="E111" s="253"/>
      <c r="F111" s="281"/>
    </row>
    <row r="112" spans="1:6" x14ac:dyDescent="0.25">
      <c r="A112" s="329" t="s">
        <v>397</v>
      </c>
      <c r="B112" s="330"/>
      <c r="C112" s="290">
        <v>1</v>
      </c>
      <c r="D112" s="72" t="s">
        <v>298</v>
      </c>
      <c r="E112" s="253"/>
      <c r="F112" s="281"/>
    </row>
    <row r="113" spans="1:6" x14ac:dyDescent="0.25">
      <c r="A113" s="329" t="s">
        <v>407</v>
      </c>
      <c r="B113" s="330"/>
      <c r="C113" s="290">
        <v>300</v>
      </c>
      <c r="D113" s="72" t="s">
        <v>298</v>
      </c>
      <c r="E113" s="253"/>
      <c r="F113" s="281"/>
    </row>
    <row r="114" spans="1:6" ht="24.6" x14ac:dyDescent="0.25">
      <c r="A114" s="315" t="s">
        <v>425</v>
      </c>
      <c r="B114" s="316"/>
      <c r="C114" s="316"/>
      <c r="D114" s="241"/>
      <c r="E114" s="295">
        <f>'Fippa BW Data'!B8</f>
        <v>2.5</v>
      </c>
      <c r="F114" s="259" t="s">
        <v>8</v>
      </c>
    </row>
    <row r="115" spans="1:6" x14ac:dyDescent="0.25">
      <c r="A115" s="267" t="s">
        <v>370</v>
      </c>
      <c r="B115" s="269"/>
      <c r="C115" s="269"/>
      <c r="D115" s="269"/>
      <c r="E115" s="270"/>
      <c r="F115" s="283"/>
    </row>
    <row r="116" spans="1:6" ht="12.75" customHeight="1" x14ac:dyDescent="0.25">
      <c r="A116" s="267" t="s">
        <v>358</v>
      </c>
      <c r="B116" s="269"/>
      <c r="C116" s="269" t="s">
        <v>174</v>
      </c>
      <c r="D116" s="269" t="s">
        <v>184</v>
      </c>
      <c r="E116" s="270"/>
      <c r="F116" s="283"/>
    </row>
    <row r="117" spans="1:6" ht="13.8" thickBot="1" x14ac:dyDescent="0.3">
      <c r="A117" s="337" t="s">
        <v>361</v>
      </c>
      <c r="B117" s="338"/>
      <c r="C117" s="293">
        <v>5</v>
      </c>
      <c r="D117" s="257" t="s">
        <v>298</v>
      </c>
      <c r="E117" s="258" t="s">
        <v>362</v>
      </c>
      <c r="F117" s="284"/>
    </row>
    <row r="119" spans="1:6" ht="24.6" hidden="1" x14ac:dyDescent="0.25">
      <c r="A119" s="315" t="s">
        <v>452</v>
      </c>
      <c r="B119" s="316"/>
      <c r="C119" s="316"/>
      <c r="D119" s="290">
        <v>1.2</v>
      </c>
      <c r="E119" s="286"/>
      <c r="F119" s="259"/>
    </row>
    <row r="121" spans="1:6" x14ac:dyDescent="0.25">
      <c r="B121" s="181"/>
      <c r="C121" s="181"/>
    </row>
    <row r="122" spans="1:6" x14ac:dyDescent="0.25">
      <c r="B122" s="181"/>
      <c r="C122" s="181"/>
    </row>
    <row r="129" spans="1:2" ht="117.75" customHeight="1" x14ac:dyDescent="0.25">
      <c r="A129" s="333" t="s">
        <v>132</v>
      </c>
      <c r="B129" s="333"/>
    </row>
  </sheetData>
  <sheetProtection selectLockedCells="1" selectUnlockedCells="1"/>
  <mergeCells count="34">
    <mergeCell ref="A79:B79"/>
    <mergeCell ref="A99:B99"/>
    <mergeCell ref="A129:B129"/>
    <mergeCell ref="A33:E33"/>
    <mergeCell ref="A36:E36"/>
    <mergeCell ref="A117:B117"/>
    <mergeCell ref="A110:B110"/>
    <mergeCell ref="A111:B111"/>
    <mergeCell ref="A103:B103"/>
    <mergeCell ref="A112:B112"/>
    <mergeCell ref="A47:C48"/>
    <mergeCell ref="A84:C84"/>
    <mergeCell ref="A92:C92"/>
    <mergeCell ref="A100:C100"/>
    <mergeCell ref="A114:C114"/>
    <mergeCell ref="A113:B113"/>
    <mergeCell ref="A105:B105"/>
    <mergeCell ref="A104:B104"/>
    <mergeCell ref="A119:C119"/>
    <mergeCell ref="A109:B109"/>
    <mergeCell ref="A108:B108"/>
    <mergeCell ref="A107:B107"/>
    <mergeCell ref="A106:B106"/>
    <mergeCell ref="A1:F1"/>
    <mergeCell ref="C9:F9"/>
    <mergeCell ref="A14:C14"/>
    <mergeCell ref="A78:B78"/>
    <mergeCell ref="A6:C7"/>
    <mergeCell ref="A66:C67"/>
    <mergeCell ref="A77:C77"/>
    <mergeCell ref="A69:B69"/>
    <mergeCell ref="A68:B68"/>
    <mergeCell ref="E8:F8"/>
    <mergeCell ref="A3:C4"/>
  </mergeCells>
  <conditionalFormatting sqref="C25">
    <cfRule type="cellIs" dxfId="3" priority="1" stopIfTrue="1" operator="equal">
      <formula>1</formula>
    </cfRule>
    <cfRule type="cellIs" dxfId="2" priority="2" stopIfTrue="1" operator="notEqual">
      <formula>1</formula>
    </cfRule>
  </conditionalFormatting>
  <dataValidations count="1">
    <dataValidation type="list" allowBlank="1" showInputMessage="1" showErrorMessage="1" sqref="C50:C54 C56:C65">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87"/>
  <sheetViews>
    <sheetView zoomScale="80" zoomScaleNormal="80" zoomScalePageLayoutView="200" workbookViewId="0"/>
  </sheetViews>
  <sheetFormatPr defaultColWidth="8.88671875" defaultRowHeight="13.2" x14ac:dyDescent="0.25"/>
  <cols>
    <col min="1" max="1" width="64.33203125" customWidth="1"/>
    <col min="2" max="2" width="16.88671875" style="3" customWidth="1"/>
    <col min="3" max="3" width="15.6640625" customWidth="1"/>
    <col min="4" max="4" width="60.6640625" style="7" customWidth="1"/>
  </cols>
  <sheetData>
    <row r="1" spans="1:4" ht="15.9" customHeight="1" x14ac:dyDescent="0.3">
      <c r="A1" s="56" t="s">
        <v>71</v>
      </c>
      <c r="B1" s="57"/>
      <c r="C1" s="58"/>
      <c r="D1" s="59"/>
    </row>
    <row r="2" spans="1:4" ht="15.9" customHeight="1" thickBot="1" x14ac:dyDescent="0.35">
      <c r="A2" s="60" t="s">
        <v>461</v>
      </c>
      <c r="B2" s="61"/>
      <c r="C2" s="62"/>
      <c r="D2" s="63"/>
    </row>
    <row r="3" spans="1:4" ht="12.75" customHeight="1" thickBot="1" x14ac:dyDescent="0.3"/>
    <row r="4" spans="1:4" ht="12.75" customHeight="1" thickBot="1" x14ac:dyDescent="0.3">
      <c r="A4" s="308"/>
      <c r="B4" s="55"/>
      <c r="C4" s="55"/>
    </row>
    <row r="5" spans="1:4" ht="12.75" hidden="1" customHeight="1" x14ac:dyDescent="0.25"/>
    <row r="6" spans="1:4" ht="13.8" thickBot="1" x14ac:dyDescent="0.3"/>
    <row r="7" spans="1:4" ht="16.2" thickBot="1" x14ac:dyDescent="0.3">
      <c r="A7" s="12" t="s">
        <v>46</v>
      </c>
      <c r="B7" s="168" t="s">
        <v>174</v>
      </c>
      <c r="C7" s="13" t="s">
        <v>11</v>
      </c>
      <c r="D7" s="14" t="s">
        <v>10</v>
      </c>
    </row>
    <row r="8" spans="1:4" ht="15.9" customHeight="1" thickBot="1" x14ac:dyDescent="0.3">
      <c r="A8" s="342" t="s">
        <v>2</v>
      </c>
      <c r="B8" s="343"/>
      <c r="C8" s="343"/>
      <c r="D8" s="344"/>
    </row>
    <row r="9" spans="1:4" ht="12.75" customHeight="1" x14ac:dyDescent="0.25">
      <c r="A9" s="28" t="s">
        <v>1</v>
      </c>
      <c r="B9" s="229">
        <f>'Bandwidth Calculator'!C10</f>
        <v>200</v>
      </c>
      <c r="C9" s="27" t="s">
        <v>23</v>
      </c>
      <c r="D9" s="29" t="s">
        <v>153</v>
      </c>
    </row>
    <row r="10" spans="1:4" ht="12.75" customHeight="1" x14ac:dyDescent="0.25">
      <c r="A10" s="16" t="s">
        <v>30</v>
      </c>
      <c r="B10" s="230">
        <f>'Bandwidth Calculator'!C11</f>
        <v>8</v>
      </c>
      <c r="C10" s="9" t="s">
        <v>31</v>
      </c>
      <c r="D10" s="15" t="s">
        <v>34</v>
      </c>
    </row>
    <row r="11" spans="1:4" ht="12.75" hidden="1" customHeight="1" thickBot="1" x14ac:dyDescent="0.3">
      <c r="A11" s="94" t="s">
        <v>69</v>
      </c>
      <c r="B11" s="231">
        <v>0</v>
      </c>
      <c r="C11" s="95" t="s">
        <v>32</v>
      </c>
      <c r="D11" s="96" t="s">
        <v>33</v>
      </c>
    </row>
    <row r="12" spans="1:4" ht="73.5" customHeight="1" x14ac:dyDescent="0.25">
      <c r="A12" s="97" t="s">
        <v>121</v>
      </c>
      <c r="B12" s="232">
        <f>'Bandwidth Calculator'!C13</f>
        <v>5</v>
      </c>
      <c r="C12" s="98" t="s">
        <v>120</v>
      </c>
      <c r="D12" s="124" t="s">
        <v>154</v>
      </c>
    </row>
    <row r="13" spans="1:4" ht="15.9" customHeight="1" thickBot="1" x14ac:dyDescent="0.3">
      <c r="A13" s="345" t="s">
        <v>20</v>
      </c>
      <c r="B13" s="346"/>
      <c r="C13" s="346"/>
      <c r="D13" s="347"/>
    </row>
    <row r="14" spans="1:4" ht="12.75" customHeight="1" x14ac:dyDescent="0.25">
      <c r="A14" s="28" t="s">
        <v>53</v>
      </c>
      <c r="B14" s="233">
        <f>'Bandwidth Calculator'!C16</f>
        <v>6000</v>
      </c>
      <c r="C14" s="37" t="s">
        <v>54</v>
      </c>
      <c r="D14" s="38" t="s">
        <v>67</v>
      </c>
    </row>
    <row r="15" spans="1:4" ht="12.75" customHeight="1" x14ac:dyDescent="0.25">
      <c r="A15" s="28" t="s">
        <v>55</v>
      </c>
      <c r="B15" s="233">
        <f>'Bandwidth Calculator'!C17</f>
        <v>30</v>
      </c>
      <c r="C15" s="37" t="s">
        <v>24</v>
      </c>
      <c r="D15" s="38"/>
    </row>
    <row r="16" spans="1:4" ht="12.75" customHeight="1" x14ac:dyDescent="0.25">
      <c r="A16" s="28" t="s">
        <v>43</v>
      </c>
      <c r="B16" s="36">
        <f>IF(B14&gt;0,(3600*B9)/B14,0)</f>
        <v>120</v>
      </c>
      <c r="C16" s="27" t="s">
        <v>24</v>
      </c>
      <c r="D16" s="29"/>
    </row>
    <row r="17" spans="1:9" ht="12.75" customHeight="1" thickBot="1" x14ac:dyDescent="0.3">
      <c r="A17" s="17" t="s">
        <v>56</v>
      </c>
      <c r="B17" s="46">
        <f>IF((B15+B16)&gt;0,B9/(B15+B16),0)</f>
        <v>1.3333333333333333</v>
      </c>
      <c r="C17" s="10" t="s">
        <v>44</v>
      </c>
      <c r="D17" s="34" t="s">
        <v>51</v>
      </c>
    </row>
    <row r="18" spans="1:9" ht="15.9" customHeight="1" thickBot="1" x14ac:dyDescent="0.3">
      <c r="A18" s="342" t="s">
        <v>39</v>
      </c>
      <c r="B18" s="343"/>
      <c r="C18" s="343"/>
      <c r="D18" s="344"/>
      <c r="H18" s="67"/>
      <c r="I18" s="67"/>
    </row>
    <row r="19" spans="1:9" ht="12.75" customHeight="1" x14ac:dyDescent="0.25">
      <c r="A19" s="26" t="s">
        <v>3</v>
      </c>
      <c r="B19" s="234">
        <f>'Bandwidth Calculator'!C19</f>
        <v>0.9</v>
      </c>
      <c r="C19" s="27" t="s">
        <v>35</v>
      </c>
      <c r="D19" s="348" t="s">
        <v>36</v>
      </c>
      <c r="H19" s="67"/>
      <c r="I19" s="67"/>
    </row>
    <row r="20" spans="1:9" ht="12.75" customHeight="1" x14ac:dyDescent="0.25">
      <c r="A20" s="19" t="s">
        <v>4</v>
      </c>
      <c r="B20" s="235">
        <f>'Bandwidth Calculator'!C20</f>
        <v>0.06</v>
      </c>
      <c r="C20" s="9" t="s">
        <v>35</v>
      </c>
      <c r="D20" s="348"/>
      <c r="H20" s="67"/>
      <c r="I20" s="67"/>
    </row>
    <row r="21" spans="1:9" ht="12.75" hidden="1" customHeight="1" x14ac:dyDescent="0.25">
      <c r="A21" s="73" t="s">
        <v>70</v>
      </c>
      <c r="B21" s="236">
        <v>0</v>
      </c>
      <c r="C21" s="74" t="s">
        <v>35</v>
      </c>
      <c r="D21" s="349" t="s">
        <v>37</v>
      </c>
      <c r="H21" s="67"/>
      <c r="I21" s="67"/>
    </row>
    <row r="22" spans="1:9" ht="12.75" customHeight="1" x14ac:dyDescent="0.25">
      <c r="A22" s="19" t="s">
        <v>5</v>
      </c>
      <c r="B22" s="235">
        <f>'Bandwidth Calculator'!C22</f>
        <v>0.02</v>
      </c>
      <c r="C22" s="35" t="s">
        <v>35</v>
      </c>
      <c r="D22" s="350"/>
      <c r="H22" s="67"/>
      <c r="I22" s="67"/>
    </row>
    <row r="23" spans="1:9" ht="12.75" hidden="1" customHeight="1" x14ac:dyDescent="0.25">
      <c r="A23" s="16" t="s">
        <v>148</v>
      </c>
      <c r="B23" s="235">
        <v>0</v>
      </c>
      <c r="C23" s="35" t="s">
        <v>35</v>
      </c>
      <c r="D23" s="126"/>
      <c r="H23" s="67"/>
      <c r="I23" s="67"/>
    </row>
    <row r="24" spans="1:9" ht="12.75" customHeight="1" x14ac:dyDescent="0.25">
      <c r="A24" s="19" t="s">
        <v>6</v>
      </c>
      <c r="B24" s="235">
        <f>'Bandwidth Calculator'!C24</f>
        <v>0.02</v>
      </c>
      <c r="C24" s="9" t="s">
        <v>35</v>
      </c>
      <c r="D24" s="29" t="s">
        <v>38</v>
      </c>
      <c r="H24" s="67"/>
      <c r="I24" s="67"/>
    </row>
    <row r="25" spans="1:9" ht="12.75" customHeight="1" x14ac:dyDescent="0.25">
      <c r="A25" s="90" t="s">
        <v>7</v>
      </c>
      <c r="B25" s="88">
        <f>SUM(B19:B24)</f>
        <v>1</v>
      </c>
      <c r="C25" s="9" t="s">
        <v>35</v>
      </c>
      <c r="D25" s="89" t="s">
        <v>40</v>
      </c>
      <c r="H25" s="67"/>
      <c r="I25" s="67"/>
    </row>
    <row r="26" spans="1:9" ht="12.75" customHeight="1" x14ac:dyDescent="0.25">
      <c r="A26" s="28" t="s">
        <v>108</v>
      </c>
      <c r="B26" s="234">
        <f>'Bandwidth Calculator'!C26</f>
        <v>0.01</v>
      </c>
      <c r="C26" s="27" t="s">
        <v>35</v>
      </c>
      <c r="D26" s="29"/>
      <c r="H26" s="67"/>
      <c r="I26" s="67"/>
    </row>
    <row r="27" spans="1:9" ht="12.75" customHeight="1" x14ac:dyDescent="0.25">
      <c r="A27" s="28" t="s">
        <v>146</v>
      </c>
      <c r="B27" s="234">
        <f>'Bandwidth Calculator'!C27</f>
        <v>0.01</v>
      </c>
      <c r="C27" s="27" t="s">
        <v>35</v>
      </c>
      <c r="D27" s="138" t="s">
        <v>150</v>
      </c>
      <c r="H27" s="67"/>
      <c r="I27" s="67"/>
    </row>
    <row r="28" spans="1:9" ht="12.75" customHeight="1" thickBot="1" x14ac:dyDescent="0.3">
      <c r="A28" s="28" t="s">
        <v>147</v>
      </c>
      <c r="B28" s="234">
        <f>'Bandwidth Calculator'!C28</f>
        <v>0.01</v>
      </c>
      <c r="C28" s="27" t="s">
        <v>35</v>
      </c>
      <c r="D28" s="138" t="s">
        <v>151</v>
      </c>
      <c r="H28" s="67"/>
      <c r="I28" s="67"/>
    </row>
    <row r="29" spans="1:9" ht="15.9" customHeight="1" thickBot="1" x14ac:dyDescent="0.3">
      <c r="A29" s="342" t="s">
        <v>460</v>
      </c>
      <c r="B29" s="343"/>
      <c r="C29" s="343"/>
      <c r="D29" s="344"/>
      <c r="H29" s="67"/>
      <c r="I29" s="67"/>
    </row>
    <row r="30" spans="1:9" ht="12.75" hidden="1" customHeight="1" x14ac:dyDescent="0.25">
      <c r="A30" s="82" t="s">
        <v>81</v>
      </c>
      <c r="B30" s="83">
        <v>5</v>
      </c>
      <c r="C30" s="84" t="s">
        <v>9</v>
      </c>
      <c r="D30" s="85" t="s">
        <v>49</v>
      </c>
      <c r="H30" s="67"/>
      <c r="I30" s="67"/>
    </row>
    <row r="31" spans="1:9" ht="12.75" customHeight="1" x14ac:dyDescent="0.25">
      <c r="A31" s="80" t="s">
        <v>79</v>
      </c>
      <c r="B31" s="230">
        <f>'Bandwidth Calculator'!C31</f>
        <v>30</v>
      </c>
      <c r="C31" s="20" t="s">
        <v>23</v>
      </c>
      <c r="D31" s="81" t="s">
        <v>114</v>
      </c>
      <c r="H31" s="67"/>
      <c r="I31" s="67"/>
    </row>
    <row r="32" spans="1:9" ht="12.75" hidden="1" customHeight="1" thickBot="1" x14ac:dyDescent="0.3">
      <c r="A32" s="24" t="s">
        <v>156</v>
      </c>
      <c r="B32" s="64">
        <v>0</v>
      </c>
      <c r="C32" s="25" t="s">
        <v>9</v>
      </c>
      <c r="D32" s="86" t="s">
        <v>113</v>
      </c>
      <c r="H32" s="67"/>
      <c r="I32" s="67"/>
    </row>
    <row r="33" spans="1:9" ht="12.75" hidden="1" customHeight="1" x14ac:dyDescent="0.25">
      <c r="A33" s="351" t="s">
        <v>76</v>
      </c>
      <c r="B33" s="352"/>
      <c r="C33" s="352"/>
      <c r="D33" s="353"/>
      <c r="H33" s="67"/>
      <c r="I33" s="67"/>
    </row>
    <row r="34" spans="1:9" ht="12.75" hidden="1" customHeight="1" x14ac:dyDescent="0.25">
      <c r="A34" s="75" t="s">
        <v>72</v>
      </c>
      <c r="B34" s="76">
        <v>17</v>
      </c>
      <c r="C34" s="77" t="s">
        <v>25</v>
      </c>
      <c r="D34" s="78" t="s">
        <v>66</v>
      </c>
      <c r="H34" s="67"/>
      <c r="I34" s="67"/>
    </row>
    <row r="35" spans="1:9" ht="12.75" hidden="1" customHeight="1" x14ac:dyDescent="0.25">
      <c r="A35" s="75" t="s">
        <v>73</v>
      </c>
      <c r="B35" s="76">
        <v>10</v>
      </c>
      <c r="C35" s="77" t="s">
        <v>24</v>
      </c>
      <c r="D35" s="79" t="s">
        <v>41</v>
      </c>
      <c r="H35" s="67"/>
      <c r="I35" s="67"/>
    </row>
    <row r="36" spans="1:9" ht="12.75" hidden="1" customHeight="1" x14ac:dyDescent="0.25">
      <c r="A36" s="354" t="s">
        <v>77</v>
      </c>
      <c r="B36" s="355"/>
      <c r="C36" s="355"/>
      <c r="D36" s="356"/>
      <c r="H36" s="67"/>
      <c r="I36" s="67"/>
    </row>
    <row r="37" spans="1:9" ht="12.75" hidden="1" customHeight="1" x14ac:dyDescent="0.25">
      <c r="A37" s="75" t="s">
        <v>74</v>
      </c>
      <c r="B37" s="76">
        <v>6</v>
      </c>
      <c r="C37" s="77" t="s">
        <v>25</v>
      </c>
      <c r="D37" s="78" t="s">
        <v>29</v>
      </c>
      <c r="H37" s="67"/>
      <c r="I37" s="67"/>
    </row>
    <row r="38" spans="1:9" ht="12.75" hidden="1" customHeight="1" x14ac:dyDescent="0.25">
      <c r="A38" s="75" t="s">
        <v>75</v>
      </c>
      <c r="B38" s="76" t="e">
        <f>Average_Call_Duration_v801</f>
        <v>#NAME?</v>
      </c>
      <c r="C38" s="77" t="s">
        <v>24</v>
      </c>
      <c r="D38" s="78" t="s">
        <v>45</v>
      </c>
      <c r="H38" s="67"/>
      <c r="I38" s="67"/>
    </row>
    <row r="39" spans="1:9" ht="12.75" hidden="1" customHeight="1" thickBot="1" x14ac:dyDescent="0.3">
      <c r="A39" s="24" t="s">
        <v>155</v>
      </c>
      <c r="B39" s="64">
        <v>0</v>
      </c>
      <c r="C39" s="25" t="s">
        <v>9</v>
      </c>
      <c r="D39" s="86"/>
      <c r="H39" s="67"/>
      <c r="I39" s="67"/>
    </row>
    <row r="40" spans="1:9" ht="12.75" customHeight="1" x14ac:dyDescent="0.25">
      <c r="A40" s="339" t="s">
        <v>21</v>
      </c>
      <c r="B40" s="340"/>
      <c r="C40" s="340"/>
      <c r="D40" s="341"/>
      <c r="H40" s="67"/>
      <c r="I40" s="67"/>
    </row>
    <row r="41" spans="1:9" ht="12.75" customHeight="1" x14ac:dyDescent="0.25">
      <c r="A41" s="22" t="s">
        <v>19</v>
      </c>
      <c r="B41" s="230">
        <f>'Bandwidth Calculator'!C41</f>
        <v>2</v>
      </c>
      <c r="C41" s="20" t="s">
        <v>12</v>
      </c>
      <c r="D41" s="15" t="s">
        <v>47</v>
      </c>
      <c r="H41" s="67"/>
      <c r="I41" s="67"/>
    </row>
    <row r="42" spans="1:9" ht="12.75" customHeight="1" x14ac:dyDescent="0.25">
      <c r="A42" s="22" t="s">
        <v>48</v>
      </c>
      <c r="B42" s="230">
        <f>'Bandwidth Calculator'!C42</f>
        <v>640</v>
      </c>
      <c r="C42" s="20" t="s">
        <v>13</v>
      </c>
      <c r="D42" s="15" t="s">
        <v>50</v>
      </c>
      <c r="H42" s="67"/>
      <c r="I42" s="67"/>
    </row>
    <row r="43" spans="1:9" ht="12.75" customHeight="1" x14ac:dyDescent="0.25">
      <c r="A43" s="22" t="s">
        <v>57</v>
      </c>
      <c r="B43" s="230">
        <f>'Bandwidth Calculator'!C43</f>
        <v>1500</v>
      </c>
      <c r="C43" s="20" t="s">
        <v>13</v>
      </c>
      <c r="D43" s="15" t="s">
        <v>52</v>
      </c>
      <c r="H43" s="67"/>
      <c r="I43" s="67"/>
    </row>
    <row r="44" spans="1:9" ht="12.75" customHeight="1" x14ac:dyDescent="0.25">
      <c r="A44" s="339" t="s">
        <v>22</v>
      </c>
      <c r="B44" s="340"/>
      <c r="C44" s="340"/>
      <c r="D44" s="341"/>
      <c r="H44" s="67"/>
      <c r="I44" s="67"/>
    </row>
    <row r="45" spans="1:9" ht="12.75" customHeight="1" thickBot="1" x14ac:dyDescent="0.3">
      <c r="A45" s="136" t="s">
        <v>145</v>
      </c>
      <c r="B45" s="237">
        <f>'Bandwidth Calculator'!C45</f>
        <v>2</v>
      </c>
      <c r="C45" s="20" t="s">
        <v>12</v>
      </c>
      <c r="D45" s="137" t="s">
        <v>144</v>
      </c>
      <c r="H45" s="67"/>
      <c r="I45" s="67"/>
    </row>
    <row r="46" spans="1:9" ht="12.75" customHeight="1" thickBot="1" x14ac:dyDescent="0.3">
      <c r="A46" s="23" t="s">
        <v>58</v>
      </c>
      <c r="B46" s="237">
        <f>'Bandwidth Calculator'!C46</f>
        <v>100</v>
      </c>
      <c r="C46" s="21" t="s">
        <v>13</v>
      </c>
      <c r="D46" s="11" t="s">
        <v>68</v>
      </c>
      <c r="H46" s="67"/>
      <c r="I46" s="67"/>
    </row>
    <row r="47" spans="1:9" ht="12.75" customHeight="1" x14ac:dyDescent="0.25">
      <c r="A47" s="99"/>
      <c r="B47" s="309"/>
      <c r="C47" s="100"/>
      <c r="D47" s="101"/>
      <c r="F47" s="67"/>
      <c r="H47" s="67"/>
      <c r="I47" s="67"/>
    </row>
    <row r="48" spans="1:9" ht="26.25" customHeight="1" x14ac:dyDescent="0.3">
      <c r="A48" s="91" t="s">
        <v>139</v>
      </c>
      <c r="B48" s="92"/>
      <c r="C48" s="91"/>
      <c r="D48" s="93"/>
      <c r="F48" s="67"/>
    </row>
    <row r="49" spans="1:9" ht="12.75" customHeight="1" x14ac:dyDescent="0.25">
      <c r="A49" s="102" t="s">
        <v>122</v>
      </c>
      <c r="B49" s="103">
        <f>((Number_of_Agents*'Finesse BW Data'!E5)/(Max_Login_Time_All_Agents*60))*kbps*'Finesse BW Data'!E31</f>
        <v>97705.566399999996</v>
      </c>
      <c r="C49" s="6" t="s">
        <v>8</v>
      </c>
      <c r="D49" s="71"/>
      <c r="F49" s="67"/>
      <c r="H49" s="67"/>
      <c r="I49" s="67"/>
    </row>
    <row r="50" spans="1:9" ht="12.75" customHeight="1" x14ac:dyDescent="0.25">
      <c r="A50" s="102" t="s">
        <v>123</v>
      </c>
      <c r="B50" s="103">
        <f>((Number_of_Agents*'Finesse BW Data'!E6)/(Max_Login_Time_All_Agents*60))*kbps*'Finesse BW Data'!E31</f>
        <v>80052.994666666666</v>
      </c>
      <c r="C50" s="6" t="s">
        <v>8</v>
      </c>
      <c r="D50" s="89"/>
      <c r="F50" s="67"/>
      <c r="H50" s="104"/>
      <c r="I50" s="67"/>
    </row>
    <row r="51" spans="1:9" ht="12.75" customHeight="1" x14ac:dyDescent="0.25">
      <c r="A51" s="102" t="s">
        <v>124</v>
      </c>
      <c r="B51" s="103">
        <f>((Number_of_Supervisors*'Finesse BW Data'!E7)/(Max_Login_Time_All_Agents*60))*kbps*'Finesse BW Data'!E31</f>
        <v>3594.8997760000007</v>
      </c>
      <c r="C51" s="6" t="s">
        <v>8</v>
      </c>
      <c r="D51" s="89"/>
      <c r="F51" s="67"/>
      <c r="H51" s="104"/>
      <c r="I51" s="67"/>
    </row>
    <row r="52" spans="1:9" ht="12.75" customHeight="1" thickBot="1" x14ac:dyDescent="0.3">
      <c r="A52" s="102" t="s">
        <v>125</v>
      </c>
      <c r="B52" s="103">
        <f>((Number_of_Supervisors*'Finesse BW Data'!E8)/(Max_Login_Time_All_Agents*60))*kbps*'Finesse BW Data'!E31</f>
        <v>3551.6055466666671</v>
      </c>
      <c r="C52" s="6" t="s">
        <v>8</v>
      </c>
      <c r="D52" s="89"/>
      <c r="F52" s="67"/>
      <c r="H52" s="67"/>
      <c r="I52" s="67"/>
    </row>
    <row r="53" spans="1:9" s="18" customFormat="1" ht="15.9" customHeight="1" thickBot="1" x14ac:dyDescent="0.35">
      <c r="A53" s="49" t="s">
        <v>127</v>
      </c>
      <c r="B53" s="105">
        <f>B49+B51</f>
        <v>101300.466176</v>
      </c>
      <c r="C53" s="51" t="s">
        <v>8</v>
      </c>
      <c r="D53" s="52"/>
      <c r="F53" s="67"/>
      <c r="H53" s="68"/>
      <c r="I53" s="68"/>
    </row>
    <row r="54" spans="1:9" s="18" customFormat="1" ht="15.9" customHeight="1" thickBot="1" x14ac:dyDescent="0.35">
      <c r="A54" s="49" t="s">
        <v>126</v>
      </c>
      <c r="B54" s="105">
        <f>B50+B52</f>
        <v>83604.600213333339</v>
      </c>
      <c r="C54" s="51" t="s">
        <v>8</v>
      </c>
      <c r="D54" s="52"/>
      <c r="F54" s="67"/>
      <c r="H54" s="68"/>
      <c r="I54" s="68"/>
    </row>
    <row r="55" spans="1:9" ht="12.75" customHeight="1" x14ac:dyDescent="0.25">
      <c r="A55" s="2"/>
      <c r="C55" s="4"/>
      <c r="F55" s="67"/>
      <c r="H55" s="67"/>
      <c r="I55" s="67"/>
    </row>
    <row r="56" spans="1:9" ht="22.5" customHeight="1" thickBot="1" x14ac:dyDescent="0.35">
      <c r="A56" s="91" t="s">
        <v>140</v>
      </c>
      <c r="B56" s="92"/>
      <c r="C56" s="91"/>
      <c r="D56" s="93"/>
      <c r="F56" s="67"/>
    </row>
    <row r="57" spans="1:9" s="18" customFormat="1" ht="15.9" customHeight="1" thickBot="1" x14ac:dyDescent="0.35">
      <c r="A57" s="357" t="s">
        <v>78</v>
      </c>
      <c r="B57" s="358"/>
      <c r="C57" s="358"/>
      <c r="D57" s="359"/>
      <c r="H57" s="68"/>
      <c r="I57" s="68"/>
    </row>
    <row r="58" spans="1:9" ht="12.75" customHeight="1" x14ac:dyDescent="0.25">
      <c r="A58" s="339" t="s">
        <v>110</v>
      </c>
      <c r="B58" s="340"/>
      <c r="C58" s="340"/>
      <c r="D58" s="341"/>
      <c r="H58" s="67"/>
      <c r="I58" s="67"/>
    </row>
    <row r="59" spans="1:9" ht="12.75" hidden="1" customHeight="1" x14ac:dyDescent="0.25">
      <c r="A59" s="42" t="s">
        <v>80</v>
      </c>
      <c r="B59" s="30" t="e">
        <f>((('Finesse BW Data'!E10+('Finesse BW Data'!E11*Average_number_of_Skill_Groups_per_Supervisor))*Number_of_Supervisors)/Skill_Group_Refresh_Rate)*kbps*Bandwidth_Confidence_Factor_v9</f>
        <v>#VALUE!</v>
      </c>
      <c r="C59" s="31" t="s">
        <v>8</v>
      </c>
      <c r="D59" s="32" t="e">
        <f>IF(B$80&gt;0,B59/B$80,0)</f>
        <v>#VALUE!</v>
      </c>
      <c r="H59" s="67"/>
      <c r="I59" s="67"/>
    </row>
    <row r="60" spans="1:9" ht="12.75" customHeight="1" x14ac:dyDescent="0.25">
      <c r="A60" s="43" t="s">
        <v>82</v>
      </c>
      <c r="B60" s="8">
        <f>(IF(Agent_Call_Wrap_Up_Time&gt;0,Avg_Agent_State_Changes_Per_Call_Wrap,Avg_Agent_State_Changes_Per_Call_NoWrap)*'Finesse BW Data'!E27*(Average_number_of_agents_per_Team/(Agent_Call_Wrap_Up_Time+Average_Call_Duration))*Number_of_Supervisors*kbps*Bandwidth_Confidence_Factor_v9)</f>
        <v>1268.2342400000002</v>
      </c>
      <c r="C60" s="6" t="s">
        <v>8</v>
      </c>
      <c r="D60" s="32">
        <f>IF(B$80&gt;0,B60/B$80,0)</f>
        <v>0.31657118220329661</v>
      </c>
      <c r="H60" s="67"/>
      <c r="I60" s="67"/>
    </row>
    <row r="61" spans="1:9" ht="12.75" customHeight="1" x14ac:dyDescent="0.25">
      <c r="A61" s="43" t="s">
        <v>141</v>
      </c>
      <c r="B61" s="8">
        <f>IF(Number_of_Supervisors&gt;0,((Calls_Per_Second * Percentage_of_BargedCalls) * 'Finesse BW Data'!E28) * kbps * Bandwidth_Confidence_Factor_v9,0)</f>
        <v>17.607338666666667</v>
      </c>
      <c r="C61" s="6" t="s">
        <v>8</v>
      </c>
      <c r="D61" s="32">
        <f>IF(B$80&gt;0,B61/B$80,0)</f>
        <v>4.3950682305821378E-3</v>
      </c>
      <c r="H61" s="67"/>
      <c r="I61" s="67"/>
    </row>
    <row r="62" spans="1:9" ht="12.75" customHeight="1" x14ac:dyDescent="0.25">
      <c r="A62" s="43" t="s">
        <v>142</v>
      </c>
      <c r="B62" s="8">
        <f>IF(Number_of_Supervisors&gt;0,((Calls_Per_Second * Percentage_of_InterceptedCalls) * 'Finesse BW Data'!E29) * kbps * Bandwidth_Confidence_Factor_v9,0)</f>
        <v>3.1238826666666668</v>
      </c>
      <c r="C62" s="6" t="s">
        <v>8</v>
      </c>
      <c r="D62" s="32">
        <f>IF(B$80&gt;0,B62/B$80,0)</f>
        <v>7.7977016994199217E-4</v>
      </c>
      <c r="H62" s="67"/>
      <c r="I62" s="67"/>
    </row>
    <row r="63" spans="1:9" ht="12.75" customHeight="1" x14ac:dyDescent="0.25">
      <c r="A63" s="43" t="s">
        <v>109</v>
      </c>
      <c r="B63" s="8">
        <f>IF(Number_of_Supervisors&gt;0,((Calls_Per_Second * Percentage_Calls_Silently_Monitored) * 'Finesse BW Data'!E26) * kbps * Bandwidth_Confidence_Factor_v9,0)</f>
        <v>3.1238826666666668</v>
      </c>
      <c r="C63" s="6" t="s">
        <v>8</v>
      </c>
      <c r="D63" s="32">
        <f>IF(B$80&gt;0,B63/B$80,0)</f>
        <v>7.7977016994199217E-4</v>
      </c>
      <c r="F63" s="67"/>
      <c r="H63" s="67"/>
      <c r="I63" s="67"/>
    </row>
    <row r="64" spans="1:9" ht="12.75" customHeight="1" x14ac:dyDescent="0.25">
      <c r="A64" s="339" t="s">
        <v>111</v>
      </c>
      <c r="B64" s="340"/>
      <c r="C64" s="340"/>
      <c r="D64" s="341"/>
      <c r="F64" s="67"/>
      <c r="H64" s="67"/>
      <c r="I64" s="67"/>
    </row>
    <row r="65" spans="1:9" ht="12.75" customHeight="1" x14ac:dyDescent="0.25">
      <c r="A65" s="44" t="s">
        <v>28</v>
      </c>
      <c r="B65" s="8">
        <f>(((Calls_Per_Second*Percentage_of_Incoming_Straight_Calls) * 'Finesse BW Data'!E13) + ((Calls_Per_Second*Percentage_of_Outgoing_Straight_Calls) * 'Finesse BW Data'!E14)) * kbps * Bandwidth_Confidence_Factor_v9</f>
        <v>1105.854464</v>
      </c>
      <c r="C65" s="6" t="s">
        <v>8</v>
      </c>
      <c r="D65" s="32">
        <f t="shared" ref="D65:D79" si="0">IF(B$80&gt;0,B65/B$80,0)</f>
        <v>0.27603864015946522</v>
      </c>
      <c r="F65" s="67"/>
      <c r="H65" s="67"/>
      <c r="I65" s="67"/>
    </row>
    <row r="66" spans="1:9" ht="12.75" customHeight="1" x14ac:dyDescent="0.25">
      <c r="A66" s="149" t="s">
        <v>152</v>
      </c>
      <c r="B66" s="150">
        <f>((Calls_Per_Second*Percentage_of_SingleStep_Transfer_Calls)*'Finesse BW Data'!E17*kbps*Bandwidth_Confidence_Factor_v9)</f>
        <v>0</v>
      </c>
      <c r="C66" s="151" t="s">
        <v>8</v>
      </c>
      <c r="D66" s="152">
        <f t="shared" si="0"/>
        <v>0</v>
      </c>
      <c r="F66" s="67"/>
      <c r="H66" s="67"/>
      <c r="I66" s="67"/>
    </row>
    <row r="67" spans="1:9" ht="12.75" customHeight="1" x14ac:dyDescent="0.25">
      <c r="A67" s="44" t="s">
        <v>26</v>
      </c>
      <c r="B67" s="8">
        <f>((Calls_Per_Second * Percentage_of_Consultative_Transfer_Calls) * 'Finesse BW Data'!E15) * kbps * Bandwidth_Confidence_Factor_v9</f>
        <v>34.646698666666666</v>
      </c>
      <c r="C67" s="6" t="s">
        <v>8</v>
      </c>
      <c r="D67" s="32">
        <f t="shared" si="0"/>
        <v>8.6483600666293677E-3</v>
      </c>
      <c r="F67" s="67"/>
      <c r="H67" s="67"/>
      <c r="I67" s="67"/>
    </row>
    <row r="68" spans="1:9" ht="12.75" customHeight="1" x14ac:dyDescent="0.25">
      <c r="A68" s="44" t="s">
        <v>27</v>
      </c>
      <c r="B68" s="8">
        <f>((Calls_Per_Second* Percentage_of_Consultative_Conference_Calls) * 'Finesse BW Data'!E16) * kbps * Bandwidth_Confidence_Factor_v9</f>
        <v>32.090794666666667</v>
      </c>
      <c r="C68" s="6" t="s">
        <v>8</v>
      </c>
      <c r="D68" s="32">
        <f t="shared" si="0"/>
        <v>8.0103662912222838E-3</v>
      </c>
      <c r="F68" s="67"/>
      <c r="H68" s="67"/>
      <c r="I68" s="67"/>
    </row>
    <row r="69" spans="1:9" ht="12.75" customHeight="1" x14ac:dyDescent="0.25">
      <c r="A69" s="43" t="s">
        <v>89</v>
      </c>
      <c r="B69" s="8">
        <f>IF(Agent_Call_Wrap_Up_Time&gt;0,Calls_Per_Second*'Finesse BW Data'!E18 * kbps * Bandwidth_Confidence_Factor_v9,0)</f>
        <v>1386.2090666666663</v>
      </c>
      <c r="C69" s="87" t="s">
        <v>8</v>
      </c>
      <c r="D69" s="32">
        <f t="shared" si="0"/>
        <v>0.34601955157400172</v>
      </c>
      <c r="F69" s="67"/>
      <c r="H69" s="67"/>
      <c r="I69" s="67"/>
    </row>
    <row r="70" spans="1:9" ht="12.75" customHeight="1" x14ac:dyDescent="0.25">
      <c r="A70" s="43" t="s">
        <v>105</v>
      </c>
      <c r="B70" s="8">
        <f>IF(Number_of_Configured_ECC_variables&gt;0,(Sum_of_all_ECC_Variable_Values+Sum_of_all_ECC_Variable_Names+(Number_of_Configured_ECC_variables*'Finesse BW Data'!E21))*Avg_Number_Dialog_Events_Per_IncomingCall*Percentage_of_Incoming_Straight_Calls*Calls_Per_Second*kbps*Bandwidth_Confidence_Factor_v9,0)</f>
        <v>96.670080000000013</v>
      </c>
      <c r="C70" s="6" t="s">
        <v>8</v>
      </c>
      <c r="D70" s="32">
        <f t="shared" si="0"/>
        <v>2.4130370040543345E-2</v>
      </c>
      <c r="F70" s="67"/>
      <c r="H70" s="67"/>
      <c r="I70" s="67"/>
    </row>
    <row r="71" spans="1:9" ht="12.75" customHeight="1" x14ac:dyDescent="0.25">
      <c r="A71" s="43" t="s">
        <v>112</v>
      </c>
      <c r="B71" s="8">
        <f>IF(Number_of_Configured_ECC_variables&gt;0,(Sum_of_all_ECC_Variable_Values+Sum_of_all_ECC_Variable_Names+(Number_of_Configured_ECC_variables*'Finesse BW Data'!E21))*Avg_Number_Dialog_Events_Per_OutCall*Percentage_of_Outgoing_Straight_Calls*Calls_Per_Second*kbps*Bandwidth_Confidence_Factor_v9,0)</f>
        <v>17.185791999999999</v>
      </c>
      <c r="C71" s="6" t="s">
        <v>8</v>
      </c>
      <c r="D71" s="32">
        <f t="shared" si="0"/>
        <v>4.2898435627632611E-3</v>
      </c>
      <c r="F71" s="67"/>
      <c r="H71" s="67"/>
      <c r="I71" s="67"/>
    </row>
    <row r="72" spans="1:9" ht="12.75" customHeight="1" x14ac:dyDescent="0.25">
      <c r="A72" s="43" t="s">
        <v>106</v>
      </c>
      <c r="B72" s="8">
        <f>IF(Number_of_Configured_ECC_variables&gt;0,(Sum_of_all_ECC_Variable_Values+Sum_of_all_ECC_Variable_Names+(Number_of_Configured_ECC_variables*'Finesse BW Data'!E21))*Avg_Number_Dialog_Events_Per_ConfCall*Percentage_of_Consultative_Conference_Calls*Calls_Per_Second*kbps*Bandwidth_Confidence_Factor_v9,0)</f>
        <v>10.74112</v>
      </c>
      <c r="C72" s="6" t="s">
        <v>8</v>
      </c>
      <c r="D72" s="32">
        <f t="shared" si="0"/>
        <v>2.6811522267270382E-3</v>
      </c>
      <c r="F72" s="67"/>
      <c r="H72" s="67"/>
      <c r="I72" s="67"/>
    </row>
    <row r="73" spans="1:9" ht="12.75" customHeight="1" x14ac:dyDescent="0.25">
      <c r="A73" s="43" t="s">
        <v>107</v>
      </c>
      <c r="B73" s="8">
        <f>IF(Number_of_Configured_ECC_variables&gt;0,(Sum_of_all_ECC_Variable_Values+Sum_of_all_ECC_Variable_Names+(Number_of_Configured_ECC_variables*'Finesse BW Data'!E21))*Avg_Number_Dialog_Events_Per_XferCall*Percentage_of_Consultative_Transfer_Calls*Calls_Per_Second*kbps*Bandwidth_Confidence_Factor_v9,0)</f>
        <v>8.5928959999999996</v>
      </c>
      <c r="C73" s="6" t="s">
        <v>8</v>
      </c>
      <c r="D73" s="32">
        <f t="shared" si="0"/>
        <v>2.1449217813816306E-3</v>
      </c>
      <c r="F73" s="67"/>
      <c r="H73" s="67"/>
      <c r="I73" s="67"/>
    </row>
    <row r="74" spans="1:9" ht="12" customHeight="1" x14ac:dyDescent="0.25">
      <c r="A74" s="43" t="s">
        <v>101</v>
      </c>
      <c r="B74" s="8">
        <f>(Sum_of_all_Call_Variable_Values+(Number_of_Configured_Call_variables*'Finesse BW Data'!E24))*Avg_Number_Dialog_Events_Per_IncomingCall*Percentage_of_Incoming_Straight_Calls*Calls_Per_Second*kbps*Bandwidth_Confidence_Factor_v9</f>
        <v>16.024320000000003</v>
      </c>
      <c r="C74" s="6" t="s">
        <v>8</v>
      </c>
      <c r="D74" s="32">
        <f t="shared" si="0"/>
        <v>3.9999219122201987E-3</v>
      </c>
      <c r="F74" s="67"/>
      <c r="H74" s="67"/>
      <c r="I74" s="67"/>
    </row>
    <row r="75" spans="1:9" ht="12.75" customHeight="1" x14ac:dyDescent="0.25">
      <c r="A75" s="43" t="s">
        <v>102</v>
      </c>
      <c r="B75" s="8">
        <f>(Sum_of_all_Call_Variable_Values+(Number_of_Configured_Call_variables*'Finesse BW Data'!E24))*Avg_Number_Dialog_Events_Per_OutCall*Percentage_of_Outgoing_Straight_Calls*Calls_Per_Second*kbps*Bandwidth_Confidence_Factor_v9</f>
        <v>2.8487679999999993</v>
      </c>
      <c r="C75" s="6" t="s">
        <v>8</v>
      </c>
      <c r="D75" s="32">
        <f t="shared" si="0"/>
        <v>7.1109722883914604E-4</v>
      </c>
      <c r="F75" s="67"/>
      <c r="H75" s="67"/>
      <c r="I75" s="67"/>
    </row>
    <row r="76" spans="1:9" ht="12.75" customHeight="1" x14ac:dyDescent="0.25">
      <c r="A76" s="43" t="s">
        <v>103</v>
      </c>
      <c r="B76" s="8">
        <f>(Sum_of_all_Call_Variable_Values_v901+(Number_of_Configured_Call_variables*'Finesse BW Data'!E24))*Avg_Number_Dialog_Events_Per_ConfCall*Percentage_of_Consultative_Conference_Calls*Calls_Per_Second*kbps*Bandwidth_Confidence_Factor_v9</f>
        <v>1.7804800000000001</v>
      </c>
      <c r="C76" s="6" t="s">
        <v>8</v>
      </c>
      <c r="D76" s="32">
        <f t="shared" si="0"/>
        <v>4.4443576802446642E-4</v>
      </c>
      <c r="F76" s="67"/>
      <c r="H76" s="67"/>
      <c r="I76" s="67"/>
    </row>
    <row r="77" spans="1:9" ht="12.75" customHeight="1" thickBot="1" x14ac:dyDescent="0.3">
      <c r="A77" s="43" t="s">
        <v>104</v>
      </c>
      <c r="B77" s="8">
        <f>(Sum_of_all_Call_Variable_Values+(Number_of_Configured_Call_variables*'Finesse BW Data'!E24))*Avg_Number_Dialog_Events_Per_XferCall*Percentage_of_Consultative_Transfer_Calls*Calls_Per_Second*kbps*Bandwidth_Confidence_Factor_v9</f>
        <v>1.4243839999999997</v>
      </c>
      <c r="C77" s="6" t="s">
        <v>8</v>
      </c>
      <c r="D77" s="32">
        <f t="shared" si="0"/>
        <v>3.5554861441957302E-4</v>
      </c>
      <c r="F77" s="67"/>
      <c r="H77" s="67"/>
      <c r="I77" s="67"/>
    </row>
    <row r="78" spans="1:9" ht="12.75" customHeight="1" thickBot="1" x14ac:dyDescent="0.3">
      <c r="A78" s="41" t="s">
        <v>61</v>
      </c>
      <c r="B78" s="39">
        <f>SUM(B65:B77)</f>
        <v>2714.0688639999994</v>
      </c>
      <c r="C78" s="40" t="s">
        <v>8</v>
      </c>
      <c r="D78" s="33">
        <f t="shared" si="0"/>
        <v>0.67747420922623725</v>
      </c>
      <c r="F78" s="67"/>
      <c r="H78" s="67"/>
      <c r="I78" s="67"/>
    </row>
    <row r="79" spans="1:9" ht="12.75" customHeight="1" thickBot="1" x14ac:dyDescent="0.3">
      <c r="A79" s="41" t="s">
        <v>62</v>
      </c>
      <c r="B79" s="39">
        <f>SUM(B60:B63)</f>
        <v>1292.0893440000004</v>
      </c>
      <c r="C79" s="40" t="s">
        <v>8</v>
      </c>
      <c r="D79" s="33">
        <f t="shared" si="0"/>
        <v>0.32252579077376281</v>
      </c>
      <c r="F79" s="67"/>
      <c r="H79" s="67"/>
      <c r="I79" s="67"/>
    </row>
    <row r="80" spans="1:9" s="18" customFormat="1" ht="15.9" customHeight="1" thickBot="1" x14ac:dyDescent="0.35">
      <c r="A80" s="49" t="s">
        <v>63</v>
      </c>
      <c r="B80" s="50">
        <f>SUM(B78:B79)</f>
        <v>4006.1582079999998</v>
      </c>
      <c r="C80" s="51" t="s">
        <v>8</v>
      </c>
      <c r="D80" s="52">
        <f>SUM(D60:D77)</f>
        <v>1</v>
      </c>
      <c r="F80" s="67"/>
      <c r="H80" s="68"/>
      <c r="I80" s="68"/>
    </row>
    <row r="81" spans="1:9" ht="12.75" customHeight="1" thickBot="1" x14ac:dyDescent="0.3">
      <c r="A81" s="41" t="s">
        <v>90</v>
      </c>
      <c r="B81" s="39">
        <f>IF(Number_of_Agents&gt;0,B78/Number_of_Agents,0)</f>
        <v>13.570344319999997</v>
      </c>
      <c r="C81" s="40" t="s">
        <v>8</v>
      </c>
      <c r="D81" s="33"/>
      <c r="H81" s="67"/>
      <c r="I81" s="67"/>
    </row>
    <row r="82" spans="1:9" ht="12.75" customHeight="1" thickBot="1" x14ac:dyDescent="0.3">
      <c r="A82" s="41" t="s">
        <v>91</v>
      </c>
      <c r="B82" s="39">
        <f>IF(Number_of_Supervisors&gt;0,B79/Number_of_Supervisors,0)</f>
        <v>161.51116800000005</v>
      </c>
      <c r="C82" s="40" t="s">
        <v>8</v>
      </c>
      <c r="D82" s="33"/>
      <c r="H82" s="67"/>
      <c r="I82" s="67"/>
    </row>
    <row r="83" spans="1:9" ht="12.75" customHeight="1" x14ac:dyDescent="0.25"/>
    <row r="84" spans="1:9" ht="12.75" customHeight="1" x14ac:dyDescent="0.25"/>
    <row r="85" spans="1:9" ht="12.75" customHeight="1" x14ac:dyDescent="0.25"/>
    <row r="86" spans="1:9" ht="82.5" customHeight="1" x14ac:dyDescent="0.25">
      <c r="A86" s="360" t="s">
        <v>132</v>
      </c>
      <c r="B86" s="360"/>
      <c r="C86" s="360"/>
      <c r="D86" s="360"/>
    </row>
    <row r="87" spans="1:9" ht="12.75" customHeight="1" x14ac:dyDescent="0.25">
      <c r="A87" s="360"/>
      <c r="B87" s="360"/>
      <c r="C87" s="360"/>
      <c r="D87" s="360"/>
    </row>
  </sheetData>
  <sheetProtection algorithmName="SHA-512" hashValue="JhQABZZMIhul4ATRG8PxJo4/5JETBm4VrYwf2bpo/HvgcW2GUSo+V7sEhrOSSvSF159L6yu3npdY1zI6QM1dBg==" saltValue="leFHvXmPoZCCvHrsG3rbYQ==" spinCount="100000" sheet="1" objects="1" scenarios="1" selectLockedCells="1" selectUnlockedCells="1"/>
  <mergeCells count="17">
    <mergeCell ref="A64:D64"/>
    <mergeCell ref="A86:B86"/>
    <mergeCell ref="C86:D86"/>
    <mergeCell ref="A87:B87"/>
    <mergeCell ref="C87:D87"/>
    <mergeCell ref="A58:D58"/>
    <mergeCell ref="A8:D8"/>
    <mergeCell ref="A13:D13"/>
    <mergeCell ref="A18:D18"/>
    <mergeCell ref="D19:D20"/>
    <mergeCell ref="D21:D22"/>
    <mergeCell ref="A29:D29"/>
    <mergeCell ref="A33:D33"/>
    <mergeCell ref="A36:D36"/>
    <mergeCell ref="A40:D40"/>
    <mergeCell ref="A44:D44"/>
    <mergeCell ref="A57:D57"/>
  </mergeCells>
  <conditionalFormatting sqref="B25">
    <cfRule type="cellIs" dxfId="1" priority="3" stopIfTrue="1" operator="equal">
      <formula>1</formula>
    </cfRule>
    <cfRule type="cellIs" dxfId="0" priority="4" stopIfTrue="1" operator="notEqual">
      <formula>1</formula>
    </cfRule>
  </conditionalFormatting>
  <pageMargins left="0.7" right="0.7" top="0.75" bottom="0.75" header="0.3" footer="0.3"/>
  <pageSetup orientation="portrait" r:id="rId1"/>
  <ignoredErrors>
    <ignoredError sqref="B11 B21 B2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44"/>
  <sheetViews>
    <sheetView zoomScale="91" zoomScaleNormal="91" zoomScalePageLayoutView="140" workbookViewId="0"/>
  </sheetViews>
  <sheetFormatPr defaultColWidth="8.88671875" defaultRowHeight="13.2" x14ac:dyDescent="0.25"/>
  <cols>
    <col min="1" max="1" width="58.109375" customWidth="1"/>
    <col min="2" max="4" width="18.6640625" hidden="1" customWidth="1"/>
    <col min="5" max="7" width="18.6640625" customWidth="1"/>
  </cols>
  <sheetData>
    <row r="1" spans="1:8" ht="13.8" thickBot="1" x14ac:dyDescent="0.3">
      <c r="A1" s="1"/>
    </row>
    <row r="2" spans="1:8" x14ac:dyDescent="0.25">
      <c r="A2" s="363" t="s">
        <v>86</v>
      </c>
      <c r="B2" s="107"/>
      <c r="C2" s="107"/>
      <c r="D2" s="107"/>
      <c r="E2" s="107"/>
      <c r="F2" s="107"/>
      <c r="G2" s="107"/>
      <c r="H2" s="108"/>
    </row>
    <row r="3" spans="1:8" ht="39.6" x14ac:dyDescent="0.25">
      <c r="A3" s="364"/>
      <c r="B3" s="66" t="s">
        <v>133</v>
      </c>
      <c r="C3" s="66" t="s">
        <v>134</v>
      </c>
      <c r="D3" s="66" t="s">
        <v>135</v>
      </c>
      <c r="E3" s="66" t="s">
        <v>163</v>
      </c>
      <c r="F3" s="66" t="s">
        <v>164</v>
      </c>
      <c r="G3" s="66" t="s">
        <v>161</v>
      </c>
      <c r="H3" s="109" t="s">
        <v>11</v>
      </c>
    </row>
    <row r="4" spans="1:8" x14ac:dyDescent="0.25">
      <c r="A4" s="110" t="s">
        <v>115</v>
      </c>
      <c r="B4" s="106"/>
      <c r="C4" s="127"/>
      <c r="D4" s="127"/>
      <c r="E4" s="127"/>
      <c r="F4" s="127"/>
      <c r="G4" s="127"/>
      <c r="H4" s="111"/>
    </row>
    <row r="5" spans="1:8" x14ac:dyDescent="0.25">
      <c r="A5" s="112" t="s">
        <v>116</v>
      </c>
      <c r="B5" s="65">
        <f>2.8 *1024 * 1024</f>
        <v>2936012.7999999998</v>
      </c>
      <c r="C5" s="144"/>
      <c r="D5" s="135">
        <f>1680+1380</f>
        <v>3060</v>
      </c>
      <c r="E5" s="155">
        <v>14092149</v>
      </c>
      <c r="F5" s="155">
        <f>14532697</f>
        <v>14532697</v>
      </c>
      <c r="G5" s="155">
        <f>6197195</f>
        <v>6197195</v>
      </c>
      <c r="H5" s="113" t="s">
        <v>130</v>
      </c>
    </row>
    <row r="6" spans="1:8" x14ac:dyDescent="0.25">
      <c r="A6" s="114" t="s">
        <v>117</v>
      </c>
      <c r="B6" s="65">
        <f>0.8 *1024 * 1024</f>
        <v>838860.80000000005</v>
      </c>
      <c r="C6" s="144"/>
      <c r="D6" s="135" t="s">
        <v>143</v>
      </c>
      <c r="E6" s="155">
        <f>11546105</f>
        <v>11546105</v>
      </c>
      <c r="F6" s="156">
        <f>12668308</f>
        <v>12668308</v>
      </c>
      <c r="G6" s="155">
        <f>3724813</f>
        <v>3724813</v>
      </c>
      <c r="H6" s="113" t="s">
        <v>130</v>
      </c>
    </row>
    <row r="7" spans="1:8" x14ac:dyDescent="0.25">
      <c r="A7" s="112" t="s">
        <v>118</v>
      </c>
      <c r="B7" s="65">
        <f>5.2 *1024 * 1024</f>
        <v>5452595.2000000002</v>
      </c>
      <c r="C7" s="144"/>
      <c r="D7" s="128">
        <f>1338+802</f>
        <v>2140</v>
      </c>
      <c r="E7" s="156">
        <f>12962379</f>
        <v>12962379</v>
      </c>
      <c r="F7" s="156">
        <f>15974933</f>
        <v>15974933</v>
      </c>
      <c r="G7" s="156">
        <f>5250050</f>
        <v>5250050</v>
      </c>
      <c r="H7" s="113" t="s">
        <v>130</v>
      </c>
    </row>
    <row r="8" spans="1:8" x14ac:dyDescent="0.25">
      <c r="A8" s="114" t="s">
        <v>119</v>
      </c>
      <c r="B8" s="65">
        <f>2.8 *1024 * 1024</f>
        <v>2936012.7999999998</v>
      </c>
      <c r="C8" s="144"/>
      <c r="D8" s="135" t="s">
        <v>143</v>
      </c>
      <c r="E8" s="155">
        <f>12806270</f>
        <v>12806270</v>
      </c>
      <c r="F8" s="170">
        <f>13925906</f>
        <v>13925906</v>
      </c>
      <c r="G8" s="155">
        <f>4393599</f>
        <v>4393599</v>
      </c>
      <c r="H8" s="113" t="s">
        <v>130</v>
      </c>
    </row>
    <row r="9" spans="1:8" x14ac:dyDescent="0.25">
      <c r="A9" s="367" t="s">
        <v>85</v>
      </c>
      <c r="B9" s="368"/>
      <c r="C9" s="145"/>
      <c r="D9" s="129"/>
      <c r="E9" s="129"/>
      <c r="F9" s="129"/>
      <c r="G9" s="129"/>
      <c r="H9" s="111"/>
    </row>
    <row r="10" spans="1:8" x14ac:dyDescent="0.25">
      <c r="A10" s="115" t="s">
        <v>131</v>
      </c>
      <c r="B10" s="65">
        <v>1275</v>
      </c>
      <c r="C10" s="144"/>
      <c r="D10" s="135" t="s">
        <v>143</v>
      </c>
      <c r="E10" s="153" t="s">
        <v>157</v>
      </c>
      <c r="F10" s="153" t="s">
        <v>158</v>
      </c>
      <c r="G10" s="156" t="s">
        <v>162</v>
      </c>
      <c r="H10" s="113" t="s">
        <v>130</v>
      </c>
    </row>
    <row r="11" spans="1:8" x14ac:dyDescent="0.25">
      <c r="A11" s="114" t="s">
        <v>87</v>
      </c>
      <c r="B11" s="5">
        <v>790</v>
      </c>
      <c r="C11" s="144"/>
      <c r="D11" s="128">
        <v>737</v>
      </c>
      <c r="E11" s="156" t="s">
        <v>158</v>
      </c>
      <c r="F11" s="153" t="s">
        <v>158</v>
      </c>
      <c r="G11" s="156" t="s">
        <v>162</v>
      </c>
      <c r="H11" s="113" t="s">
        <v>130</v>
      </c>
    </row>
    <row r="12" spans="1:8" x14ac:dyDescent="0.25">
      <c r="A12" s="365" t="s">
        <v>14</v>
      </c>
      <c r="B12" s="366"/>
      <c r="C12" s="146"/>
      <c r="D12" s="130"/>
      <c r="E12" s="130"/>
      <c r="F12" s="130"/>
      <c r="G12" s="130"/>
      <c r="H12" s="111"/>
    </row>
    <row r="13" spans="1:8" x14ac:dyDescent="0.25">
      <c r="A13" s="116" t="s">
        <v>15</v>
      </c>
      <c r="B13" s="5">
        <v>25020</v>
      </c>
      <c r="C13" s="144"/>
      <c r="D13" s="128">
        <v>3259</v>
      </c>
      <c r="E13" s="156">
        <f>82*1024</f>
        <v>83968</v>
      </c>
      <c r="F13" s="156">
        <v>104448</v>
      </c>
      <c r="G13" s="156">
        <f>411*1024</f>
        <v>420864</v>
      </c>
      <c r="H13" s="113" t="s">
        <v>130</v>
      </c>
    </row>
    <row r="14" spans="1:8" x14ac:dyDescent="0.25">
      <c r="A14" s="116" t="s">
        <v>16</v>
      </c>
      <c r="B14" s="5">
        <v>38785</v>
      </c>
      <c r="C14" s="144"/>
      <c r="D14" s="128">
        <v>3387</v>
      </c>
      <c r="E14" s="156">
        <f>69632</f>
        <v>69632</v>
      </c>
      <c r="F14" s="156">
        <v>122880</v>
      </c>
      <c r="G14" s="156">
        <f>99328</f>
        <v>99328</v>
      </c>
      <c r="H14" s="113" t="s">
        <v>130</v>
      </c>
    </row>
    <row r="15" spans="1:8" x14ac:dyDescent="0.25">
      <c r="A15" s="116" t="s">
        <v>17</v>
      </c>
      <c r="B15" s="5">
        <v>64177</v>
      </c>
      <c r="C15" s="144"/>
      <c r="D15" s="128">
        <v>5606</v>
      </c>
      <c r="E15" s="156">
        <f>124928</f>
        <v>124928</v>
      </c>
      <c r="F15" s="156">
        <v>137216</v>
      </c>
      <c r="G15" s="156">
        <v>415744</v>
      </c>
      <c r="H15" s="113" t="s">
        <v>130</v>
      </c>
    </row>
    <row r="16" spans="1:8" x14ac:dyDescent="0.25">
      <c r="A16" s="116" t="s">
        <v>18</v>
      </c>
      <c r="B16" s="5">
        <v>79757</v>
      </c>
      <c r="C16" s="144"/>
      <c r="D16" s="128">
        <v>6236</v>
      </c>
      <c r="E16" s="156">
        <f>115712</f>
        <v>115712</v>
      </c>
      <c r="F16" s="156">
        <v>144384</v>
      </c>
      <c r="G16" s="156">
        <f>214016</f>
        <v>214016</v>
      </c>
      <c r="H16" s="113" t="s">
        <v>130</v>
      </c>
    </row>
    <row r="17" spans="1:10" x14ac:dyDescent="0.25">
      <c r="A17" s="166" t="s">
        <v>136</v>
      </c>
      <c r="B17" s="5"/>
      <c r="C17" s="144"/>
      <c r="D17" s="128">
        <v>6601</v>
      </c>
      <c r="E17" s="156">
        <v>76800</v>
      </c>
      <c r="F17" s="156">
        <v>82944</v>
      </c>
      <c r="G17" s="156">
        <v>303104</v>
      </c>
      <c r="H17" s="113" t="s">
        <v>130</v>
      </c>
    </row>
    <row r="18" spans="1:10" x14ac:dyDescent="0.25">
      <c r="A18" s="114" t="s">
        <v>88</v>
      </c>
      <c r="B18" s="5">
        <v>17213</v>
      </c>
      <c r="C18" s="144"/>
      <c r="D18" s="128">
        <v>455</v>
      </c>
      <c r="E18" s="156">
        <v>99967</v>
      </c>
      <c r="F18" s="156">
        <v>160550</v>
      </c>
      <c r="G18" s="156">
        <f>582656</f>
        <v>582656</v>
      </c>
      <c r="H18" s="113" t="s">
        <v>130</v>
      </c>
      <c r="J18" s="165"/>
    </row>
    <row r="19" spans="1:10" x14ac:dyDescent="0.25">
      <c r="A19" s="365" t="s">
        <v>21</v>
      </c>
      <c r="B19" s="366"/>
      <c r="C19" s="146"/>
      <c r="D19" s="130"/>
      <c r="E19" s="130"/>
      <c r="F19" s="130"/>
      <c r="G19" s="156"/>
      <c r="H19" s="111"/>
    </row>
    <row r="20" spans="1:10" hidden="1" x14ac:dyDescent="0.25">
      <c r="A20" s="116" t="s">
        <v>0</v>
      </c>
      <c r="B20" s="5"/>
      <c r="C20" s="147"/>
      <c r="D20" s="131"/>
      <c r="E20" s="131"/>
      <c r="F20" s="131"/>
      <c r="G20" s="130"/>
      <c r="H20" s="117"/>
    </row>
    <row r="21" spans="1:10" x14ac:dyDescent="0.25">
      <c r="A21" s="116" t="s">
        <v>42</v>
      </c>
      <c r="B21" s="5">
        <v>185</v>
      </c>
      <c r="C21" s="144"/>
      <c r="D21" s="135" t="s">
        <v>143</v>
      </c>
      <c r="E21" s="157">
        <v>221</v>
      </c>
      <c r="F21" s="157">
        <v>221</v>
      </c>
      <c r="G21" s="157">
        <f>221</f>
        <v>221</v>
      </c>
      <c r="H21" s="113" t="s">
        <v>130</v>
      </c>
    </row>
    <row r="22" spans="1:10" x14ac:dyDescent="0.25">
      <c r="A22" s="365" t="s">
        <v>22</v>
      </c>
      <c r="B22" s="366"/>
      <c r="C22" s="145"/>
      <c r="D22" s="129"/>
      <c r="E22" s="129"/>
      <c r="F22" s="129"/>
      <c r="G22" s="129"/>
      <c r="H22" s="164"/>
    </row>
    <row r="23" spans="1:10" hidden="1" x14ac:dyDescent="0.25">
      <c r="A23" s="116" t="s">
        <v>0</v>
      </c>
      <c r="B23" s="5"/>
      <c r="C23" s="147"/>
      <c r="D23" s="131"/>
      <c r="E23" s="131"/>
      <c r="F23" s="131"/>
      <c r="G23" s="131"/>
      <c r="H23" s="117"/>
    </row>
    <row r="24" spans="1:10" x14ac:dyDescent="0.25">
      <c r="A24" s="116" t="s">
        <v>42</v>
      </c>
      <c r="B24" s="5">
        <v>0</v>
      </c>
      <c r="C24" s="147"/>
      <c r="D24" s="131"/>
      <c r="E24" s="158">
        <v>164</v>
      </c>
      <c r="F24" s="158">
        <v>164</v>
      </c>
      <c r="G24" s="158">
        <v>164</v>
      </c>
      <c r="H24" s="134" t="s">
        <v>130</v>
      </c>
    </row>
    <row r="25" spans="1:10" x14ac:dyDescent="0.25">
      <c r="A25" s="365" t="s">
        <v>110</v>
      </c>
      <c r="B25" s="366"/>
      <c r="C25" s="146"/>
      <c r="D25" s="130"/>
      <c r="E25" s="130"/>
      <c r="F25" s="130"/>
      <c r="G25" s="130"/>
      <c r="H25" s="111"/>
    </row>
    <row r="26" spans="1:10" x14ac:dyDescent="0.25">
      <c r="A26" s="114" t="s">
        <v>83</v>
      </c>
      <c r="B26" s="5">
        <v>44642</v>
      </c>
      <c r="C26" s="144"/>
      <c r="D26" s="128">
        <v>3038</v>
      </c>
      <c r="E26" s="153">
        <v>22528</v>
      </c>
      <c r="F26" s="153">
        <v>27648</v>
      </c>
      <c r="G26" s="153">
        <f>81*1024</f>
        <v>82944</v>
      </c>
      <c r="H26" s="113" t="s">
        <v>130</v>
      </c>
    </row>
    <row r="27" spans="1:10" x14ac:dyDescent="0.25">
      <c r="A27" s="114" t="s">
        <v>84</v>
      </c>
      <c r="B27" s="5">
        <v>1797</v>
      </c>
      <c r="C27" s="144"/>
      <c r="D27" s="128">
        <v>588</v>
      </c>
      <c r="E27" s="153">
        <v>9527</v>
      </c>
      <c r="F27" s="153">
        <v>14336</v>
      </c>
      <c r="G27" s="153">
        <f>66*1024</f>
        <v>67584</v>
      </c>
      <c r="H27" s="113" t="s">
        <v>130</v>
      </c>
    </row>
    <row r="28" spans="1:10" x14ac:dyDescent="0.25">
      <c r="A28" s="133" t="s">
        <v>137</v>
      </c>
      <c r="B28" s="5"/>
      <c r="C28" s="148"/>
      <c r="D28" s="5">
        <v>5622</v>
      </c>
      <c r="E28" s="159">
        <v>126976</v>
      </c>
      <c r="F28" s="159">
        <v>177152</v>
      </c>
      <c r="G28" s="159">
        <f>107*1024</f>
        <v>109568</v>
      </c>
      <c r="H28" s="143" t="s">
        <v>130</v>
      </c>
    </row>
    <row r="29" spans="1:10" x14ac:dyDescent="0.25">
      <c r="A29" s="133" t="s">
        <v>138</v>
      </c>
      <c r="B29" s="5"/>
      <c r="C29" s="148"/>
      <c r="D29" s="5">
        <v>1356</v>
      </c>
      <c r="E29" s="159">
        <v>22528</v>
      </c>
      <c r="F29" s="159">
        <v>32768</v>
      </c>
      <c r="G29" s="159">
        <f>99*1024</f>
        <v>101376</v>
      </c>
      <c r="H29" s="143" t="s">
        <v>130</v>
      </c>
    </row>
    <row r="30" spans="1:10" x14ac:dyDescent="0.25">
      <c r="A30" s="361" t="s">
        <v>59</v>
      </c>
      <c r="B30" s="362"/>
      <c r="C30" s="132"/>
      <c r="D30" s="132"/>
      <c r="E30" s="132"/>
      <c r="F30" s="132"/>
      <c r="G30" s="132"/>
      <c r="H30" s="111"/>
    </row>
    <row r="31" spans="1:10" x14ac:dyDescent="0.25">
      <c r="A31" s="118" t="s">
        <v>60</v>
      </c>
      <c r="B31" s="5">
        <v>1.3</v>
      </c>
      <c r="C31" s="128">
        <v>1.3</v>
      </c>
      <c r="D31" s="128">
        <v>1.3</v>
      </c>
      <c r="E31" s="160">
        <v>1.3</v>
      </c>
      <c r="F31" s="160">
        <v>1.3</v>
      </c>
      <c r="G31" s="160">
        <v>1.3</v>
      </c>
      <c r="H31" s="113"/>
    </row>
    <row r="32" spans="1:10" x14ac:dyDescent="0.25">
      <c r="A32" s="361" t="s">
        <v>95</v>
      </c>
      <c r="B32" s="362"/>
      <c r="C32" s="132"/>
      <c r="D32" s="132"/>
      <c r="E32" s="132"/>
      <c r="F32" s="132"/>
      <c r="G32" s="132"/>
      <c r="H32" s="111"/>
    </row>
    <row r="33" spans="1:8" x14ac:dyDescent="0.25">
      <c r="A33" s="119" t="s">
        <v>92</v>
      </c>
      <c r="B33" s="5">
        <v>7</v>
      </c>
      <c r="C33" s="5">
        <v>7</v>
      </c>
      <c r="D33" s="5">
        <v>7</v>
      </c>
      <c r="E33" s="161">
        <v>7</v>
      </c>
      <c r="F33" s="161">
        <v>7</v>
      </c>
      <c r="G33" s="161">
        <v>7</v>
      </c>
      <c r="H33" s="120"/>
    </row>
    <row r="34" spans="1:8" x14ac:dyDescent="0.25">
      <c r="A34" s="119" t="s">
        <v>93</v>
      </c>
      <c r="B34" s="5">
        <v>8</v>
      </c>
      <c r="C34" s="5">
        <v>8</v>
      </c>
      <c r="D34" s="5">
        <v>8</v>
      </c>
      <c r="E34" s="161">
        <v>8</v>
      </c>
      <c r="F34" s="161">
        <v>8</v>
      </c>
      <c r="G34" s="161">
        <v>8</v>
      </c>
      <c r="H34" s="120"/>
    </row>
    <row r="35" spans="1:8" x14ac:dyDescent="0.25">
      <c r="A35" s="119" t="s">
        <v>94</v>
      </c>
      <c r="B35" s="5">
        <v>10</v>
      </c>
      <c r="C35" s="5">
        <v>10</v>
      </c>
      <c r="D35" s="5">
        <v>10</v>
      </c>
      <c r="E35" s="161">
        <v>10</v>
      </c>
      <c r="F35" s="161">
        <v>10</v>
      </c>
      <c r="G35" s="161">
        <v>10</v>
      </c>
      <c r="H35" s="120"/>
    </row>
    <row r="36" spans="1:8" x14ac:dyDescent="0.25">
      <c r="A36" s="119" t="s">
        <v>96</v>
      </c>
      <c r="B36" s="5">
        <v>3</v>
      </c>
      <c r="C36" s="5">
        <v>3</v>
      </c>
      <c r="D36" s="134" t="s">
        <v>143</v>
      </c>
      <c r="E36" s="158" t="s">
        <v>143</v>
      </c>
      <c r="F36" s="158" t="s">
        <v>143</v>
      </c>
      <c r="G36" s="158" t="s">
        <v>143</v>
      </c>
      <c r="H36" s="120"/>
    </row>
    <row r="37" spans="1:8" x14ac:dyDescent="0.25">
      <c r="A37" s="119" t="s">
        <v>97</v>
      </c>
      <c r="B37" s="5">
        <v>15</v>
      </c>
      <c r="C37" s="5">
        <v>15</v>
      </c>
      <c r="D37" s="134" t="s">
        <v>143</v>
      </c>
      <c r="E37" s="158" t="s">
        <v>143</v>
      </c>
      <c r="F37" s="158" t="s">
        <v>143</v>
      </c>
      <c r="G37" s="158" t="s">
        <v>143</v>
      </c>
      <c r="H37" s="120"/>
    </row>
    <row r="38" spans="1:8" x14ac:dyDescent="0.25">
      <c r="A38" s="119" t="s">
        <v>98</v>
      </c>
      <c r="B38" s="5">
        <v>8</v>
      </c>
      <c r="C38" s="5">
        <v>8</v>
      </c>
      <c r="D38" s="134" t="s">
        <v>143</v>
      </c>
      <c r="E38" s="158" t="s">
        <v>143</v>
      </c>
      <c r="F38" s="158" t="s">
        <v>143</v>
      </c>
      <c r="G38" s="158" t="s">
        <v>143</v>
      </c>
      <c r="H38" s="120"/>
    </row>
    <row r="39" spans="1:8" x14ac:dyDescent="0.25">
      <c r="A39" s="119" t="s">
        <v>99</v>
      </c>
      <c r="B39" s="5">
        <v>12</v>
      </c>
      <c r="C39" s="5">
        <v>12</v>
      </c>
      <c r="D39" s="134" t="s">
        <v>143</v>
      </c>
      <c r="E39" s="158" t="s">
        <v>143</v>
      </c>
      <c r="F39" s="158" t="s">
        <v>143</v>
      </c>
      <c r="G39" s="158" t="s">
        <v>143</v>
      </c>
      <c r="H39" s="120"/>
    </row>
    <row r="40" spans="1:8" x14ac:dyDescent="0.25">
      <c r="A40" s="140" t="s">
        <v>100</v>
      </c>
      <c r="B40" s="141">
        <v>10</v>
      </c>
      <c r="C40" s="141">
        <v>10</v>
      </c>
      <c r="D40" s="141">
        <v>10</v>
      </c>
      <c r="E40" s="162">
        <v>10</v>
      </c>
      <c r="F40" s="162">
        <v>10</v>
      </c>
      <c r="G40" s="162">
        <v>10</v>
      </c>
      <c r="H40" s="142"/>
    </row>
    <row r="41" spans="1:8" ht="13.8" thickBot="1" x14ac:dyDescent="0.3">
      <c r="A41" s="121" t="s">
        <v>149</v>
      </c>
      <c r="B41" s="122"/>
      <c r="C41" s="122"/>
      <c r="D41" s="122">
        <v>14</v>
      </c>
      <c r="E41" s="163">
        <v>14</v>
      </c>
      <c r="F41" s="163">
        <v>14</v>
      </c>
      <c r="G41" s="163">
        <v>14</v>
      </c>
      <c r="H41" s="123"/>
    </row>
    <row r="42" spans="1:8" x14ac:dyDescent="0.25">
      <c r="A42" s="45"/>
    </row>
    <row r="43" spans="1:8" ht="91.5" customHeight="1" x14ac:dyDescent="0.25">
      <c r="A43" s="360" t="s">
        <v>132</v>
      </c>
      <c r="B43" s="360"/>
      <c r="C43" s="125"/>
      <c r="D43" s="125"/>
      <c r="E43" s="139"/>
      <c r="F43" s="154"/>
    </row>
    <row r="44" spans="1:8" x14ac:dyDescent="0.25">
      <c r="G44" s="167"/>
    </row>
  </sheetData>
  <sheetProtection algorithmName="SHA-512" hashValue="/FaeGwPirKXxW8vpjQ95N7IspjlCBWfk7hWDijHmZKatUYTmZaIc0y+INLuK3NSMZw0CK+syCaxQJIcRkIkNyg==" saltValue="iMuWn1b/CiTXSU05mp92zg==" spinCount="100000" sheet="1" objects="1" scenarios="1" selectLockedCells="1" selectUnlockedCells="1"/>
  <mergeCells count="9">
    <mergeCell ref="A32:B32"/>
    <mergeCell ref="A43:B43"/>
    <mergeCell ref="A2:A3"/>
    <mergeCell ref="A25:B25"/>
    <mergeCell ref="A30:B30"/>
    <mergeCell ref="A9:B9"/>
    <mergeCell ref="A12:B12"/>
    <mergeCell ref="A19:B19"/>
    <mergeCell ref="A22:B22"/>
  </mergeCells>
  <phoneticPr fontId="3" type="noConversion"/>
  <pageMargins left="0.75" right="0.75" top="1" bottom="1" header="0.5" footer="0.5"/>
  <pageSetup orientation="portrait" horizontalDpi="1200" verticalDpi="12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43"/>
  <sheetViews>
    <sheetView zoomScale="90" zoomScaleNormal="90" workbookViewId="0"/>
  </sheetViews>
  <sheetFormatPr defaultRowHeight="13.2" x14ac:dyDescent="0.25"/>
  <cols>
    <col min="1" max="1" width="47.109375" bestFit="1" customWidth="1"/>
    <col min="2" max="2" width="10.5546875" bestFit="1" customWidth="1"/>
    <col min="3" max="3" width="56.109375" style="7" customWidth="1"/>
    <col min="7" max="7" width="35" bestFit="1" customWidth="1"/>
    <col min="8" max="8" width="12.6640625" bestFit="1" customWidth="1"/>
    <col min="9" max="9" width="17" bestFit="1" customWidth="1"/>
    <col min="10" max="10" width="19.33203125" bestFit="1" customWidth="1"/>
    <col min="11" max="11" width="11.33203125" bestFit="1" customWidth="1"/>
  </cols>
  <sheetData>
    <row r="1" spans="1:11" x14ac:dyDescent="0.25">
      <c r="G1" s="4" t="s">
        <v>462</v>
      </c>
    </row>
    <row r="2" spans="1:11" ht="26.4" x14ac:dyDescent="0.25">
      <c r="A2" s="202" t="s">
        <v>326</v>
      </c>
      <c r="B2" s="194"/>
      <c r="C2" s="208"/>
      <c r="G2" s="198" t="s">
        <v>335</v>
      </c>
      <c r="H2" s="198" t="s">
        <v>341</v>
      </c>
      <c r="I2" s="198" t="s">
        <v>342</v>
      </c>
      <c r="J2" s="198" t="s">
        <v>343</v>
      </c>
      <c r="K2" s="198" t="s">
        <v>442</v>
      </c>
    </row>
    <row r="3" spans="1:11" x14ac:dyDescent="0.25">
      <c r="A3" s="202"/>
      <c r="B3" s="194" t="s">
        <v>327</v>
      </c>
      <c r="C3" s="208"/>
      <c r="G3" s="186" t="s">
        <v>300</v>
      </c>
      <c r="H3" s="186" t="s">
        <v>314</v>
      </c>
      <c r="I3" s="206">
        <f>(60/3)*8</f>
        <v>160</v>
      </c>
      <c r="J3" s="206">
        <v>1</v>
      </c>
      <c r="K3" s="186">
        <f>IF('Bandwidth Calculator'!C50="yes",((B9*J3)+B14),0)</f>
        <v>8</v>
      </c>
    </row>
    <row r="4" spans="1:11" x14ac:dyDescent="0.25">
      <c r="A4" s="28" t="s">
        <v>318</v>
      </c>
      <c r="B4" s="209">
        <f>'Bandwidth Calculator'!C10</f>
        <v>200</v>
      </c>
      <c r="C4" s="72"/>
      <c r="G4" s="186" t="s">
        <v>301</v>
      </c>
      <c r="H4" s="186" t="s">
        <v>314</v>
      </c>
      <c r="I4" s="206">
        <f>(60/3)*8</f>
        <v>160</v>
      </c>
      <c r="J4" s="206">
        <v>1</v>
      </c>
      <c r="K4" s="186">
        <f>IF('Bandwidth Calculator'!C51="yes",((B9*J4)+B14),0)</f>
        <v>8</v>
      </c>
    </row>
    <row r="5" spans="1:11" x14ac:dyDescent="0.25">
      <c r="A5" s="28" t="s">
        <v>319</v>
      </c>
      <c r="B5" s="209">
        <f>'Bandwidth Calculator'!C11</f>
        <v>8</v>
      </c>
      <c r="C5" s="72"/>
      <c r="G5" s="186" t="s">
        <v>302</v>
      </c>
      <c r="H5" s="186" t="s">
        <v>337</v>
      </c>
      <c r="I5" s="206">
        <v>50</v>
      </c>
      <c r="J5" s="206">
        <v>25</v>
      </c>
      <c r="K5" s="186">
        <f>IF('Bandwidth Calculator'!C52="yes",((B11*J5)+B14),0)</f>
        <v>0</v>
      </c>
    </row>
    <row r="6" spans="1:11" x14ac:dyDescent="0.25">
      <c r="G6" s="186" t="s">
        <v>303</v>
      </c>
      <c r="H6" s="186" t="s">
        <v>337</v>
      </c>
      <c r="I6" s="206">
        <v>1</v>
      </c>
      <c r="J6" s="206">
        <v>1</v>
      </c>
      <c r="K6" s="186">
        <f>IF('Bandwidth Calculator'!C53="yes",((B11*J6)+B14),0)</f>
        <v>8</v>
      </c>
    </row>
    <row r="7" spans="1:11" x14ac:dyDescent="0.25">
      <c r="A7" s="202" t="s">
        <v>328</v>
      </c>
      <c r="B7" s="202" t="s">
        <v>327</v>
      </c>
      <c r="C7" s="208"/>
      <c r="G7" s="186" t="s">
        <v>304</v>
      </c>
      <c r="H7" s="186" t="s">
        <v>337</v>
      </c>
      <c r="I7" s="206">
        <v>1</v>
      </c>
      <c r="J7" s="206">
        <v>1</v>
      </c>
      <c r="K7" s="186">
        <f>IF('Bandwidth Calculator'!C54="yes",((B11*J7)+B14),0)</f>
        <v>0</v>
      </c>
    </row>
    <row r="8" spans="1:11" x14ac:dyDescent="0.25">
      <c r="A8" s="80" t="s">
        <v>324</v>
      </c>
      <c r="B8" s="203">
        <v>10</v>
      </c>
      <c r="C8" s="72" t="s">
        <v>441</v>
      </c>
      <c r="G8" s="186"/>
      <c r="H8" s="186"/>
      <c r="I8" s="206"/>
      <c r="J8" s="206"/>
      <c r="K8" s="186"/>
    </row>
    <row r="9" spans="1:11" x14ac:dyDescent="0.25">
      <c r="A9" s="80" t="s">
        <v>322</v>
      </c>
      <c r="B9" s="203">
        <v>7</v>
      </c>
      <c r="C9" s="72" t="s">
        <v>441</v>
      </c>
      <c r="G9" s="198" t="s">
        <v>336</v>
      </c>
      <c r="H9" s="198"/>
      <c r="I9" s="198"/>
      <c r="J9" s="198"/>
      <c r="K9" s="198"/>
    </row>
    <row r="10" spans="1:11" x14ac:dyDescent="0.25">
      <c r="A10" s="80" t="s">
        <v>325</v>
      </c>
      <c r="B10" s="203">
        <v>10</v>
      </c>
      <c r="C10" s="72" t="s">
        <v>441</v>
      </c>
      <c r="G10" s="186" t="s">
        <v>305</v>
      </c>
      <c r="H10" s="186" t="s">
        <v>337</v>
      </c>
      <c r="I10" s="206">
        <v>50</v>
      </c>
      <c r="J10" s="206">
        <v>10</v>
      </c>
      <c r="K10" s="186">
        <f>IF('Bandwidth Calculator'!C56="yes",(J10*B10)+B14,0)</f>
        <v>0</v>
      </c>
    </row>
    <row r="11" spans="1:11" x14ac:dyDescent="0.25">
      <c r="A11" s="80" t="s">
        <v>323</v>
      </c>
      <c r="B11" s="203">
        <v>7</v>
      </c>
      <c r="C11" s="72" t="s">
        <v>441</v>
      </c>
      <c r="G11" s="186" t="s">
        <v>306</v>
      </c>
      <c r="H11" s="186" t="s">
        <v>314</v>
      </c>
      <c r="I11" s="206">
        <v>400</v>
      </c>
      <c r="J11" s="206">
        <v>40</v>
      </c>
      <c r="K11" s="186">
        <f>IF('Bandwidth Calculator'!C57="yes",(J11*B8)+B14,0)</f>
        <v>0</v>
      </c>
    </row>
    <row r="12" spans="1:11" x14ac:dyDescent="0.25">
      <c r="A12" s="80" t="s">
        <v>320</v>
      </c>
      <c r="B12" s="203">
        <v>2048</v>
      </c>
      <c r="C12" s="72" t="s">
        <v>441</v>
      </c>
      <c r="G12" s="186" t="s">
        <v>307</v>
      </c>
      <c r="H12" s="186" t="s">
        <v>314</v>
      </c>
      <c r="I12" s="206">
        <v>250</v>
      </c>
      <c r="J12" s="206">
        <v>25</v>
      </c>
      <c r="K12" s="186">
        <f>IF('Bandwidth Calculator'!C58="yes",(J12*B8)+B14,0)</f>
        <v>0</v>
      </c>
    </row>
    <row r="13" spans="1:11" x14ac:dyDescent="0.25">
      <c r="A13" s="80" t="s">
        <v>321</v>
      </c>
      <c r="B13" s="203">
        <f>60</f>
        <v>60</v>
      </c>
      <c r="C13" s="72" t="s">
        <v>329</v>
      </c>
      <c r="G13" s="186" t="s">
        <v>308</v>
      </c>
      <c r="H13" s="186" t="s">
        <v>314</v>
      </c>
      <c r="I13" s="206">
        <v>400</v>
      </c>
      <c r="J13" s="206">
        <v>40</v>
      </c>
      <c r="K13" s="186">
        <f>IF('Bandwidth Calculator'!C59="yes",(J13*B8)+B14,0)</f>
        <v>401</v>
      </c>
    </row>
    <row r="14" spans="1:11" x14ac:dyDescent="0.25">
      <c r="A14" s="80" t="s">
        <v>338</v>
      </c>
      <c r="B14" s="203">
        <v>1</v>
      </c>
      <c r="C14" s="72" t="s">
        <v>181</v>
      </c>
      <c r="G14" s="186" t="s">
        <v>309</v>
      </c>
      <c r="H14" s="186" t="s">
        <v>314</v>
      </c>
      <c r="I14" s="206">
        <v>250</v>
      </c>
      <c r="J14" s="206">
        <v>25</v>
      </c>
      <c r="K14" s="186">
        <f>IF('Bandwidth Calculator'!C60="yes",(J14*B8)+B14,0)</f>
        <v>251</v>
      </c>
    </row>
    <row r="15" spans="1:11" x14ac:dyDescent="0.25">
      <c r="A15" s="80" t="s">
        <v>334</v>
      </c>
      <c r="B15" s="203">
        <v>1.1000000000000001</v>
      </c>
      <c r="C15" s="72" t="s">
        <v>330</v>
      </c>
      <c r="G15" s="186" t="s">
        <v>310</v>
      </c>
      <c r="H15" s="186" t="s">
        <v>314</v>
      </c>
      <c r="I15" s="206">
        <v>50</v>
      </c>
      <c r="J15" s="206">
        <v>10</v>
      </c>
      <c r="K15" s="186">
        <f>IF('Bandwidth Calculator'!C61="yes",(J15*B8)+B14,0)</f>
        <v>0</v>
      </c>
    </row>
    <row r="16" spans="1:11" ht="26.4" x14ac:dyDescent="0.25">
      <c r="A16" s="204" t="s">
        <v>339</v>
      </c>
      <c r="B16" s="207">
        <f>( SUM(K3:K7)) * B15</f>
        <v>26.400000000000002</v>
      </c>
      <c r="C16" s="72" t="s">
        <v>443</v>
      </c>
      <c r="G16" s="186" t="s">
        <v>311</v>
      </c>
      <c r="H16" s="186" t="s">
        <v>337</v>
      </c>
      <c r="I16" s="206">
        <v>50</v>
      </c>
      <c r="J16" s="206">
        <v>10</v>
      </c>
      <c r="K16" s="186">
        <f>IF('Bandwidth Calculator'!C62="yes",(J16*B10)+B14,0)</f>
        <v>0</v>
      </c>
    </row>
    <row r="17" spans="1:11" ht="26.4" x14ac:dyDescent="0.25">
      <c r="A17" s="204" t="s">
        <v>340</v>
      </c>
      <c r="B17" s="207">
        <f>(SUM(K10:K18) )*B15</f>
        <v>1269.4000000000001</v>
      </c>
      <c r="C17" s="72" t="s">
        <v>444</v>
      </c>
      <c r="G17" s="186" t="s">
        <v>312</v>
      </c>
      <c r="H17" s="186" t="s">
        <v>337</v>
      </c>
      <c r="I17" s="206">
        <v>250</v>
      </c>
      <c r="J17" s="206">
        <v>25</v>
      </c>
      <c r="K17" s="186">
        <f>IF('Bandwidth Calculator'!C63="yes",(J17*B10)+B14,0)</f>
        <v>251</v>
      </c>
    </row>
    <row r="18" spans="1:11" x14ac:dyDescent="0.25">
      <c r="A18" s="204" t="s">
        <v>374</v>
      </c>
      <c r="B18" s="205">
        <f>((COUNTIF(K3:K7,"&lt;&gt;0")) * B12)</f>
        <v>6144</v>
      </c>
      <c r="C18" s="72" t="s">
        <v>377</v>
      </c>
      <c r="G18" s="186" t="s">
        <v>313</v>
      </c>
      <c r="H18" s="186" t="s">
        <v>337</v>
      </c>
      <c r="I18" s="206">
        <v>250</v>
      </c>
      <c r="J18" s="206">
        <v>25</v>
      </c>
      <c r="K18" s="186">
        <f>IF('Bandwidth Calculator'!C64="yes",(J18*B10)+B14,0)</f>
        <v>251</v>
      </c>
    </row>
    <row r="19" spans="1:11" x14ac:dyDescent="0.25">
      <c r="A19" s="204" t="s">
        <v>375</v>
      </c>
      <c r="B19" s="205">
        <f>((COUNTIF(K10:K18,"&lt;&gt;0"))*B12)</f>
        <v>8192</v>
      </c>
      <c r="C19" s="72" t="s">
        <v>376</v>
      </c>
    </row>
    <row r="22" spans="1:11" x14ac:dyDescent="0.25">
      <c r="A22" s="202" t="s">
        <v>331</v>
      </c>
      <c r="B22" s="202" t="s">
        <v>174</v>
      </c>
      <c r="C22" s="208"/>
    </row>
    <row r="23" spans="1:11" x14ac:dyDescent="0.25">
      <c r="A23" s="80" t="s">
        <v>332</v>
      </c>
      <c r="B23" s="251">
        <f>(B4*B16)*8</f>
        <v>42240</v>
      </c>
      <c r="C23" s="204" t="s">
        <v>8</v>
      </c>
    </row>
    <row r="24" spans="1:11" x14ac:dyDescent="0.25">
      <c r="A24" s="80" t="s">
        <v>333</v>
      </c>
      <c r="B24" s="251">
        <f>(B5*B17)*8</f>
        <v>81241.600000000006</v>
      </c>
      <c r="C24" s="204" t="s">
        <v>8</v>
      </c>
    </row>
    <row r="25" spans="1:11" x14ac:dyDescent="0.25">
      <c r="A25" s="80" t="s">
        <v>448</v>
      </c>
      <c r="B25" s="207">
        <f>B23+B24</f>
        <v>123481.60000000001</v>
      </c>
      <c r="C25" s="204" t="s">
        <v>8</v>
      </c>
    </row>
    <row r="26" spans="1:11" x14ac:dyDescent="0.25">
      <c r="A26" s="80" t="s">
        <v>445</v>
      </c>
      <c r="B26" s="251">
        <f>(B18*B4)*8</f>
        <v>9830400</v>
      </c>
      <c r="C26" s="204" t="s">
        <v>8</v>
      </c>
    </row>
    <row r="27" spans="1:11" x14ac:dyDescent="0.25">
      <c r="A27" s="80" t="s">
        <v>446</v>
      </c>
      <c r="B27" s="251">
        <f>B19*B5*8</f>
        <v>524288</v>
      </c>
      <c r="C27" s="204" t="s">
        <v>8</v>
      </c>
    </row>
    <row r="28" spans="1:11" x14ac:dyDescent="0.25">
      <c r="A28" s="80" t="s">
        <v>447</v>
      </c>
      <c r="B28" s="207">
        <f>B26+B27</f>
        <v>10354688</v>
      </c>
      <c r="C28" s="204"/>
    </row>
    <row r="29" spans="1:11" x14ac:dyDescent="0.25">
      <c r="A29" s="80" t="s">
        <v>408</v>
      </c>
      <c r="B29" s="207">
        <f>(B18+B16)*B4*8</f>
        <v>9872640</v>
      </c>
      <c r="C29" s="72"/>
    </row>
    <row r="30" spans="1:11" x14ac:dyDescent="0.25">
      <c r="A30" s="80" t="s">
        <v>409</v>
      </c>
      <c r="B30" s="207">
        <f>(B19+B17)*B5*8</f>
        <v>605529.59999999998</v>
      </c>
      <c r="C30" s="72"/>
    </row>
    <row r="31" spans="1:11" x14ac:dyDescent="0.25">
      <c r="A31" s="204"/>
      <c r="B31" s="207"/>
      <c r="C31" s="72"/>
    </row>
    <row r="32" spans="1:11" x14ac:dyDescent="0.25">
      <c r="A32" s="80"/>
      <c r="B32" s="203"/>
      <c r="C32" s="72"/>
    </row>
    <row r="33" spans="1:21" x14ac:dyDescent="0.25">
      <c r="A33" s="80"/>
      <c r="B33" s="203"/>
      <c r="C33" s="72"/>
    </row>
    <row r="36" spans="1:21" x14ac:dyDescent="0.25">
      <c r="B36" s="242"/>
    </row>
    <row r="42" spans="1:21" x14ac:dyDescent="0.25">
      <c r="G42" s="4"/>
    </row>
    <row r="43" spans="1:21" x14ac:dyDescent="0.25">
      <c r="U43">
        <f>T43/300</f>
        <v>0</v>
      </c>
    </row>
  </sheetData>
  <sheetProtection algorithmName="SHA-512" hashValue="UgPJp2hEups9scusRSWh2Qafp0OdLiQGsW0B/91XuNpvqd9378u+E6TItdqjZtL1JDNXKODhOqeUl0MsjX/8Ww==" saltValue="rhFEkf/rSOVtFyjhNnHgGQ==" spinCount="100000" sheet="1" objects="1" scenarios="1" selectLockedCells="1" selectUnlockedCells="1"/>
  <dataConsolid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78"/>
  <sheetViews>
    <sheetView zoomScaleNormal="100" workbookViewId="0"/>
  </sheetViews>
  <sheetFormatPr defaultColWidth="9.109375" defaultRowHeight="13.2" x14ac:dyDescent="0.25"/>
  <cols>
    <col min="1" max="1" width="52.88671875" style="171" bestFit="1" customWidth="1"/>
    <col min="2" max="2" width="19.6640625" style="171" bestFit="1" customWidth="1"/>
    <col min="3" max="3" width="104.5546875" style="171" bestFit="1" customWidth="1"/>
    <col min="4" max="4" width="9.109375" style="171"/>
    <col min="5" max="5" width="15" style="171" customWidth="1"/>
    <col min="6" max="6" width="24" style="171" customWidth="1"/>
    <col min="7" max="16384" width="9.109375" style="171"/>
  </cols>
  <sheetData>
    <row r="1" spans="1:3" x14ac:dyDescent="0.25">
      <c r="A1" s="254" t="s">
        <v>176</v>
      </c>
      <c r="B1" s="254"/>
      <c r="C1" s="254"/>
    </row>
    <row r="2" spans="1:3" x14ac:dyDescent="0.25">
      <c r="A2" s="254" t="s">
        <v>175</v>
      </c>
      <c r="B2" s="254" t="s">
        <v>174</v>
      </c>
      <c r="C2" s="254"/>
    </row>
    <row r="3" spans="1:3" x14ac:dyDescent="0.25">
      <c r="A3" s="28" t="s">
        <v>178</v>
      </c>
      <c r="B3" s="210">
        <f>'Bandwidth Calculator'!C70</f>
        <v>20</v>
      </c>
      <c r="C3" s="28" t="s">
        <v>371</v>
      </c>
    </row>
    <row r="4" spans="1:3" x14ac:dyDescent="0.25">
      <c r="A4" s="28" t="s">
        <v>172</v>
      </c>
      <c r="B4" s="210">
        <f>'Bandwidth Calculator'!C71</f>
        <v>1</v>
      </c>
      <c r="C4" s="28" t="s">
        <v>371</v>
      </c>
    </row>
    <row r="5" spans="1:3" x14ac:dyDescent="0.25">
      <c r="A5" s="28" t="s">
        <v>177</v>
      </c>
      <c r="B5" s="173">
        <f>B3+B4</f>
        <v>21</v>
      </c>
      <c r="C5" s="28" t="s">
        <v>371</v>
      </c>
    </row>
    <row r="6" spans="1:3" x14ac:dyDescent="0.25">
      <c r="A6" s="28" t="s">
        <v>169</v>
      </c>
      <c r="B6" s="210">
        <f>'Bandwidth Calculator'!C72</f>
        <v>10</v>
      </c>
      <c r="C6" s="28"/>
    </row>
    <row r="7" spans="1:3" x14ac:dyDescent="0.25">
      <c r="A7" s="28" t="s">
        <v>249</v>
      </c>
      <c r="B7" s="210">
        <f>'Bandwidth Calculator'!C73</f>
        <v>600</v>
      </c>
      <c r="C7" s="28" t="s">
        <v>266</v>
      </c>
    </row>
    <row r="8" spans="1:3" x14ac:dyDescent="0.25">
      <c r="A8" s="28" t="s">
        <v>182</v>
      </c>
      <c r="B8" s="210">
        <f>'Bandwidth Calculator'!C74</f>
        <v>60</v>
      </c>
      <c r="C8" s="172" t="s">
        <v>267</v>
      </c>
    </row>
    <row r="9" spans="1:3" x14ac:dyDescent="0.25">
      <c r="A9" s="28" t="s">
        <v>183</v>
      </c>
      <c r="B9" s="174">
        <v>3</v>
      </c>
      <c r="C9" s="172" t="s">
        <v>185</v>
      </c>
    </row>
    <row r="10" spans="1:3" x14ac:dyDescent="0.25">
      <c r="A10" s="28" t="s">
        <v>247</v>
      </c>
      <c r="B10" s="191">
        <f>B7*(B6/100)</f>
        <v>60</v>
      </c>
      <c r="C10" s="172" t="s">
        <v>248</v>
      </c>
    </row>
    <row r="11" spans="1:3" x14ac:dyDescent="0.25">
      <c r="A11" s="28" t="s">
        <v>246</v>
      </c>
      <c r="B11" s="191">
        <f>B7-B10</f>
        <v>540</v>
      </c>
      <c r="C11" s="172" t="s">
        <v>251</v>
      </c>
    </row>
    <row r="12" spans="1:3" x14ac:dyDescent="0.25">
      <c r="A12" s="28" t="s">
        <v>217</v>
      </c>
      <c r="B12" s="210">
        <f>'Bandwidth Calculator'!C75</f>
        <v>35</v>
      </c>
      <c r="C12" s="28" t="s">
        <v>223</v>
      </c>
    </row>
    <row r="13" spans="1:3" x14ac:dyDescent="0.25">
      <c r="A13" s="28" t="s">
        <v>235</v>
      </c>
      <c r="B13" s="210">
        <f>'Bandwidth Calculator'!C76</f>
        <v>5</v>
      </c>
      <c r="C13" s="28" t="s">
        <v>236</v>
      </c>
    </row>
    <row r="14" spans="1:3" x14ac:dyDescent="0.25">
      <c r="A14" s="28" t="s">
        <v>250</v>
      </c>
      <c r="B14" s="174">
        <f>IF((B13&gt;5),5,B13) * B12</f>
        <v>175</v>
      </c>
      <c r="C14" s="28" t="s">
        <v>252</v>
      </c>
    </row>
    <row r="15" spans="1:3" x14ac:dyDescent="0.25">
      <c r="A15" s="28" t="s">
        <v>245</v>
      </c>
      <c r="B15" s="191">
        <f>B14*(B6/100)</f>
        <v>17.5</v>
      </c>
      <c r="C15" s="28" t="s">
        <v>253</v>
      </c>
    </row>
    <row r="16" spans="1:3" x14ac:dyDescent="0.25">
      <c r="A16" s="28" t="s">
        <v>244</v>
      </c>
      <c r="B16" s="191">
        <f>B14-B15</f>
        <v>157.5</v>
      </c>
      <c r="C16" s="28" t="s">
        <v>254</v>
      </c>
    </row>
    <row r="17" spans="1:3" x14ac:dyDescent="0.25">
      <c r="A17" s="177"/>
      <c r="B17" s="178"/>
      <c r="C17" s="177"/>
    </row>
    <row r="21" spans="1:3" x14ac:dyDescent="0.25">
      <c r="A21" s="254" t="s">
        <v>186</v>
      </c>
      <c r="B21" s="254" t="s">
        <v>216</v>
      </c>
    </row>
    <row r="22" spans="1:3" x14ac:dyDescent="0.25">
      <c r="A22" s="28" t="s">
        <v>187</v>
      </c>
      <c r="B22" s="176">
        <v>5</v>
      </c>
    </row>
    <row r="23" spans="1:3" x14ac:dyDescent="0.25">
      <c r="A23" s="28" t="s">
        <v>188</v>
      </c>
      <c r="B23" s="176">
        <v>4</v>
      </c>
    </row>
    <row r="24" spans="1:3" x14ac:dyDescent="0.25">
      <c r="A24" s="28" t="s">
        <v>189</v>
      </c>
      <c r="B24" s="176">
        <v>2</v>
      </c>
    </row>
    <row r="25" spans="1:3" x14ac:dyDescent="0.25">
      <c r="A25" s="28" t="s">
        <v>190</v>
      </c>
      <c r="B25" s="176">
        <v>4</v>
      </c>
    </row>
    <row r="26" spans="1:3" x14ac:dyDescent="0.25">
      <c r="A26" s="28" t="s">
        <v>191</v>
      </c>
      <c r="B26" s="176">
        <v>4</v>
      </c>
    </row>
    <row r="27" spans="1:3" x14ac:dyDescent="0.25">
      <c r="A27" s="28" t="s">
        <v>192</v>
      </c>
      <c r="B27" s="176">
        <v>8</v>
      </c>
    </row>
    <row r="28" spans="1:3" x14ac:dyDescent="0.25">
      <c r="A28" s="28" t="s">
        <v>193</v>
      </c>
      <c r="B28" s="176">
        <v>2</v>
      </c>
    </row>
    <row r="29" spans="1:3" x14ac:dyDescent="0.25">
      <c r="A29" s="28" t="s">
        <v>194</v>
      </c>
      <c r="B29" s="176">
        <v>6</v>
      </c>
    </row>
    <row r="30" spans="1:3" x14ac:dyDescent="0.25">
      <c r="A30" s="28" t="s">
        <v>264</v>
      </c>
      <c r="B30" s="176">
        <v>2</v>
      </c>
    </row>
    <row r="31" spans="1:3" x14ac:dyDescent="0.25">
      <c r="A31" s="28" t="s">
        <v>265</v>
      </c>
      <c r="B31" s="176">
        <v>1</v>
      </c>
    </row>
    <row r="32" spans="1:3" x14ac:dyDescent="0.25">
      <c r="A32" s="28"/>
      <c r="B32" s="176"/>
    </row>
    <row r="35" spans="1:15" x14ac:dyDescent="0.25">
      <c r="A35" s="254" t="s">
        <v>205</v>
      </c>
      <c r="B35" s="254"/>
      <c r="C35" s="254"/>
    </row>
    <row r="36" spans="1:15" x14ac:dyDescent="0.25">
      <c r="A36" s="254" t="s">
        <v>175</v>
      </c>
      <c r="B36" s="254" t="s">
        <v>372</v>
      </c>
      <c r="C36" s="254" t="s">
        <v>184</v>
      </c>
    </row>
    <row r="37" spans="1:15" x14ac:dyDescent="0.25">
      <c r="A37" s="28" t="s">
        <v>179</v>
      </c>
      <c r="B37" s="174">
        <v>900</v>
      </c>
      <c r="C37" s="28" t="s">
        <v>232</v>
      </c>
    </row>
    <row r="38" spans="1:15" x14ac:dyDescent="0.25">
      <c r="A38" s="28" t="s">
        <v>196</v>
      </c>
      <c r="B38" s="174">
        <f>B3*B23</f>
        <v>80</v>
      </c>
      <c r="C38" s="28" t="s">
        <v>232</v>
      </c>
    </row>
    <row r="39" spans="1:15" x14ac:dyDescent="0.25">
      <c r="A39" s="28" t="s">
        <v>180</v>
      </c>
      <c r="B39" s="174">
        <f>B3*(B8/B9)</f>
        <v>400</v>
      </c>
      <c r="C39" s="28" t="s">
        <v>232</v>
      </c>
    </row>
    <row r="40" spans="1:15" x14ac:dyDescent="0.25">
      <c r="A40" s="28" t="s">
        <v>197</v>
      </c>
      <c r="B40" s="174">
        <f>B3*B24</f>
        <v>40</v>
      </c>
      <c r="C40" s="28" t="s">
        <v>232</v>
      </c>
    </row>
    <row r="41" spans="1:15" x14ac:dyDescent="0.25">
      <c r="A41" s="28" t="s">
        <v>202</v>
      </c>
      <c r="B41" s="174">
        <f>(B40+B5)</f>
        <v>61</v>
      </c>
      <c r="C41" s="28" t="s">
        <v>232</v>
      </c>
      <c r="O41" s="171">
        <f>1024*2</f>
        <v>2048</v>
      </c>
    </row>
    <row r="42" spans="1:15" x14ac:dyDescent="0.25">
      <c r="A42" s="28" t="s">
        <v>200</v>
      </c>
      <c r="B42" s="174">
        <f>B4*B31</f>
        <v>1</v>
      </c>
      <c r="C42" s="28" t="s">
        <v>232</v>
      </c>
      <c r="O42" s="171">
        <f>O41/2</f>
        <v>1024</v>
      </c>
    </row>
    <row r="43" spans="1:15" x14ac:dyDescent="0.25">
      <c r="A43" s="175" t="s">
        <v>203</v>
      </c>
      <c r="B43" s="174">
        <f>B3+B37+B38+B39+B40</f>
        <v>1440</v>
      </c>
      <c r="C43" s="28" t="s">
        <v>232</v>
      </c>
    </row>
    <row r="44" spans="1:15" x14ac:dyDescent="0.25">
      <c r="A44" s="175" t="s">
        <v>204</v>
      </c>
      <c r="B44" s="174">
        <f>B43+B42+B41</f>
        <v>1502</v>
      </c>
      <c r="C44" s="28" t="s">
        <v>232</v>
      </c>
    </row>
    <row r="45" spans="1:15" x14ac:dyDescent="0.25">
      <c r="A45" s="175"/>
      <c r="B45" s="174"/>
      <c r="C45" s="28"/>
    </row>
    <row r="48" spans="1:15" x14ac:dyDescent="0.25">
      <c r="A48" s="254" t="s">
        <v>206</v>
      </c>
      <c r="B48" s="254"/>
      <c r="C48" s="254"/>
    </row>
    <row r="49" spans="1:3" x14ac:dyDescent="0.25">
      <c r="A49" s="254" t="s">
        <v>175</v>
      </c>
      <c r="B49" s="254" t="s">
        <v>372</v>
      </c>
      <c r="C49" s="254" t="s">
        <v>184</v>
      </c>
    </row>
    <row r="50" spans="1:3" x14ac:dyDescent="0.25">
      <c r="A50" s="28" t="s">
        <v>195</v>
      </c>
      <c r="B50" s="174">
        <f>B3*B22</f>
        <v>100</v>
      </c>
      <c r="C50" s="28" t="s">
        <v>232</v>
      </c>
    </row>
    <row r="51" spans="1:3" x14ac:dyDescent="0.25">
      <c r="A51" s="28" t="s">
        <v>198</v>
      </c>
      <c r="B51" s="174">
        <f>B3*B25</f>
        <v>80</v>
      </c>
      <c r="C51" s="28" t="s">
        <v>232</v>
      </c>
    </row>
    <row r="52" spans="1:3" x14ac:dyDescent="0.25">
      <c r="A52" s="28" t="s">
        <v>196</v>
      </c>
      <c r="B52" s="174">
        <f>B3*B23</f>
        <v>80</v>
      </c>
      <c r="C52" s="28" t="s">
        <v>232</v>
      </c>
    </row>
    <row r="53" spans="1:3" x14ac:dyDescent="0.25">
      <c r="A53" s="28" t="s">
        <v>180</v>
      </c>
      <c r="B53" s="174">
        <f>B3*(B8/B9)</f>
        <v>400</v>
      </c>
      <c r="C53" s="28" t="s">
        <v>232</v>
      </c>
    </row>
    <row r="54" spans="1:3" x14ac:dyDescent="0.25">
      <c r="A54" s="28" t="s">
        <v>197</v>
      </c>
      <c r="B54" s="174">
        <f>B3*B24</f>
        <v>40</v>
      </c>
      <c r="C54" s="28" t="s">
        <v>232</v>
      </c>
    </row>
    <row r="55" spans="1:3" x14ac:dyDescent="0.25">
      <c r="A55" s="28" t="s">
        <v>199</v>
      </c>
      <c r="B55" s="174">
        <f>B5*B29</f>
        <v>126</v>
      </c>
      <c r="C55" s="28" t="s">
        <v>232</v>
      </c>
    </row>
    <row r="56" spans="1:3" x14ac:dyDescent="0.25">
      <c r="A56" s="28" t="s">
        <v>200</v>
      </c>
      <c r="B56" s="174">
        <f>B4*B26</f>
        <v>4</v>
      </c>
      <c r="C56" s="28" t="s">
        <v>232</v>
      </c>
    </row>
    <row r="57" spans="1:3" x14ac:dyDescent="0.25">
      <c r="A57" s="175" t="s">
        <v>173</v>
      </c>
      <c r="B57" s="174">
        <f>B3+B50+B52+B53+B54</f>
        <v>640</v>
      </c>
      <c r="C57" s="28" t="s">
        <v>232</v>
      </c>
    </row>
    <row r="58" spans="1:3" x14ac:dyDescent="0.25">
      <c r="A58" s="175" t="s">
        <v>171</v>
      </c>
      <c r="B58" s="174">
        <f>B57+B56+B55</f>
        <v>770</v>
      </c>
      <c r="C58" s="28" t="s">
        <v>232</v>
      </c>
    </row>
    <row r="59" spans="1:3" x14ac:dyDescent="0.25">
      <c r="A59" s="175"/>
      <c r="B59" s="174"/>
      <c r="C59" s="28"/>
    </row>
    <row r="63" spans="1:3" x14ac:dyDescent="0.25">
      <c r="A63" s="254" t="s">
        <v>212</v>
      </c>
      <c r="B63" s="254"/>
      <c r="C63" s="254"/>
    </row>
    <row r="64" spans="1:3" x14ac:dyDescent="0.25">
      <c r="A64" s="254" t="s">
        <v>168</v>
      </c>
      <c r="B64" s="254" t="s">
        <v>373</v>
      </c>
      <c r="C64" s="254" t="s">
        <v>184</v>
      </c>
    </row>
    <row r="65" spans="1:3" x14ac:dyDescent="0.25">
      <c r="A65" s="28" t="s">
        <v>237</v>
      </c>
      <c r="B65" s="174">
        <f>IF(B11&gt;0,(B11*B43),0)</f>
        <v>777600</v>
      </c>
      <c r="C65" s="28" t="s">
        <v>255</v>
      </c>
    </row>
    <row r="66" spans="1:3" x14ac:dyDescent="0.25">
      <c r="A66" s="28" t="s">
        <v>238</v>
      </c>
      <c r="B66" s="174">
        <f>IF(B10&gt;=1,(B10*B44),0)</f>
        <v>90120</v>
      </c>
      <c r="C66" s="28" t="s">
        <v>256</v>
      </c>
    </row>
    <row r="67" spans="1:3" x14ac:dyDescent="0.25">
      <c r="A67" s="28" t="s">
        <v>239</v>
      </c>
      <c r="B67" s="191">
        <f>IF((B16&gt;0),(B43*B16),0)</f>
        <v>226800</v>
      </c>
      <c r="C67" s="28" t="s">
        <v>257</v>
      </c>
    </row>
    <row r="68" spans="1:3" x14ac:dyDescent="0.25">
      <c r="A68" s="28" t="s">
        <v>240</v>
      </c>
      <c r="B68" s="191">
        <f>B44*B15</f>
        <v>26285</v>
      </c>
      <c r="C68" s="28" t="s">
        <v>258</v>
      </c>
    </row>
    <row r="69" spans="1:3" x14ac:dyDescent="0.25">
      <c r="A69" s="175" t="s">
        <v>63</v>
      </c>
      <c r="B69" s="192">
        <f>SUM(B65:B68)*8/(60*B8)</f>
        <v>2490.6777777777779</v>
      </c>
      <c r="C69" s="28" t="s">
        <v>8</v>
      </c>
    </row>
    <row r="70" spans="1:3" x14ac:dyDescent="0.25">
      <c r="B70" s="193"/>
    </row>
    <row r="72" spans="1:3" x14ac:dyDescent="0.25">
      <c r="A72" s="254" t="s">
        <v>463</v>
      </c>
      <c r="B72" s="254"/>
      <c r="C72" s="254"/>
    </row>
    <row r="73" spans="1:3" x14ac:dyDescent="0.25">
      <c r="A73" s="254" t="s">
        <v>168</v>
      </c>
      <c r="B73" s="254" t="s">
        <v>373</v>
      </c>
      <c r="C73" s="254" t="s">
        <v>184</v>
      </c>
    </row>
    <row r="74" spans="1:3" x14ac:dyDescent="0.25">
      <c r="A74" s="28" t="s">
        <v>242</v>
      </c>
      <c r="B74" s="174">
        <f>B11*B57</f>
        <v>345600</v>
      </c>
      <c r="C74" s="28" t="s">
        <v>166</v>
      </c>
    </row>
    <row r="75" spans="1:3" x14ac:dyDescent="0.25">
      <c r="A75" s="28" t="s">
        <v>243</v>
      </c>
      <c r="B75" s="174">
        <f>B10*B58</f>
        <v>46200</v>
      </c>
      <c r="C75" s="28" t="s">
        <v>165</v>
      </c>
    </row>
    <row r="76" spans="1:3" x14ac:dyDescent="0.25">
      <c r="A76" s="28" t="s">
        <v>241</v>
      </c>
      <c r="B76" s="191">
        <f>B57*B16</f>
        <v>100800</v>
      </c>
      <c r="C76" s="28" t="s">
        <v>259</v>
      </c>
    </row>
    <row r="77" spans="1:3" x14ac:dyDescent="0.25">
      <c r="A77" s="28" t="s">
        <v>240</v>
      </c>
      <c r="B77" s="191">
        <f>B58*B15</f>
        <v>13475</v>
      </c>
      <c r="C77" s="28" t="s">
        <v>260</v>
      </c>
    </row>
    <row r="78" spans="1:3" x14ac:dyDescent="0.25">
      <c r="A78" s="175" t="s">
        <v>63</v>
      </c>
      <c r="B78" s="285">
        <f>SUM(B74:B77)*8/(60*B8)</f>
        <v>1124.6111111111111</v>
      </c>
      <c r="C78" s="28" t="s">
        <v>8</v>
      </c>
    </row>
  </sheetData>
  <sheetProtection algorithmName="SHA-512" hashValue="M0p6eukE62FwNhkUoRnow8hETO8L/EeyXIW5BLTj7L7BwR3tV+xT4MWhci4414kKeyjdwvf3EiyoxNK9DxEneA==" saltValue="F0bEd77A5LL/2gLLOnFITA==" spinCount="100000" sheet="1" objects="1" scenarios="1" selectLockedCells="1"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E34"/>
  <sheetViews>
    <sheetView zoomScale="90" zoomScaleNormal="90" workbookViewId="0"/>
  </sheetViews>
  <sheetFormatPr defaultColWidth="9.109375" defaultRowHeight="13.2" x14ac:dyDescent="0.25"/>
  <cols>
    <col min="1" max="1" width="34.6640625" style="181" bestFit="1" customWidth="1"/>
    <col min="2" max="2" width="16.44140625" style="181" bestFit="1" customWidth="1"/>
    <col min="3" max="3" width="74.5546875" style="181" customWidth="1"/>
    <col min="4" max="5" width="12.6640625" style="181" bestFit="1" customWidth="1"/>
    <col min="6" max="6" width="9.5546875" style="181" bestFit="1" customWidth="1"/>
    <col min="7" max="11" width="9.109375" style="181"/>
    <col min="12" max="12" width="9.5546875" style="181" bestFit="1" customWidth="1"/>
    <col min="13" max="16384" width="9.109375" style="181"/>
  </cols>
  <sheetData>
    <row r="1" spans="1:5" x14ac:dyDescent="0.25">
      <c r="A1" s="180" t="s">
        <v>207</v>
      </c>
      <c r="B1" s="180"/>
      <c r="C1" s="180"/>
    </row>
    <row r="2" spans="1:5" x14ac:dyDescent="0.25">
      <c r="A2" s="180" t="s">
        <v>175</v>
      </c>
      <c r="B2" s="180" t="s">
        <v>174</v>
      </c>
      <c r="C2" s="180" t="s">
        <v>184</v>
      </c>
    </row>
    <row r="3" spans="1:5" x14ac:dyDescent="0.25">
      <c r="A3" s="182" t="s">
        <v>208</v>
      </c>
      <c r="B3" s="228">
        <f>'Bandwidth Calculator'!C80</f>
        <v>3200</v>
      </c>
      <c r="C3" s="182" t="s">
        <v>223</v>
      </c>
    </row>
    <row r="4" spans="1:5" x14ac:dyDescent="0.25">
      <c r="A4" s="182" t="s">
        <v>209</v>
      </c>
      <c r="B4" s="228">
        <f>'Bandwidth Calculator'!C81</f>
        <v>10</v>
      </c>
      <c r="C4" s="183" t="s">
        <v>224</v>
      </c>
    </row>
    <row r="5" spans="1:5" x14ac:dyDescent="0.25">
      <c r="A5" s="182" t="s">
        <v>211</v>
      </c>
      <c r="B5" s="189">
        <f>B3*(B4/100)</f>
        <v>320</v>
      </c>
      <c r="C5" s="183"/>
    </row>
    <row r="6" spans="1:5" x14ac:dyDescent="0.25">
      <c r="A6" s="182" t="s">
        <v>210</v>
      </c>
      <c r="B6" s="189">
        <f>B3-B5</f>
        <v>2880</v>
      </c>
      <c r="C6" s="183"/>
    </row>
    <row r="7" spans="1:5" x14ac:dyDescent="0.25">
      <c r="A7" s="182" t="s">
        <v>214</v>
      </c>
      <c r="B7" s="228">
        <f>'Bandwidth Calculator'!C82</f>
        <v>20</v>
      </c>
      <c r="C7" s="183" t="s">
        <v>223</v>
      </c>
    </row>
    <row r="8" spans="1:5" x14ac:dyDescent="0.25">
      <c r="A8" s="182" t="s">
        <v>233</v>
      </c>
      <c r="B8" s="228">
        <f>'Bandwidth Calculator'!C83</f>
        <v>100</v>
      </c>
      <c r="C8" s="183" t="s">
        <v>234</v>
      </c>
    </row>
    <row r="9" spans="1:5" x14ac:dyDescent="0.25">
      <c r="A9" s="182"/>
      <c r="B9" s="184"/>
      <c r="C9" s="183"/>
    </row>
    <row r="11" spans="1:5" s="185" customFormat="1" x14ac:dyDescent="0.25">
      <c r="A11" s="180" t="s">
        <v>215</v>
      </c>
      <c r="B11" s="180" t="s">
        <v>174</v>
      </c>
      <c r="C11" s="180" t="s">
        <v>184</v>
      </c>
    </row>
    <row r="12" spans="1:5" s="185" customFormat="1" x14ac:dyDescent="0.25">
      <c r="A12" s="182" t="s">
        <v>179</v>
      </c>
      <c r="B12" s="184">
        <v>800</v>
      </c>
      <c r="C12" s="182" t="s">
        <v>181</v>
      </c>
    </row>
    <row r="13" spans="1:5" s="185" customFormat="1" x14ac:dyDescent="0.25">
      <c r="A13" s="182" t="s">
        <v>228</v>
      </c>
      <c r="B13" s="184">
        <v>40</v>
      </c>
      <c r="C13" s="182" t="s">
        <v>170</v>
      </c>
    </row>
    <row r="14" spans="1:5" s="185" customFormat="1" x14ac:dyDescent="0.25">
      <c r="A14" s="182" t="s">
        <v>214</v>
      </c>
      <c r="B14" s="184">
        <f>B7</f>
        <v>20</v>
      </c>
      <c r="C14" s="182"/>
    </row>
    <row r="15" spans="1:5" s="185" customFormat="1" x14ac:dyDescent="0.25">
      <c r="A15" s="182" t="s">
        <v>261</v>
      </c>
      <c r="B15" s="184">
        <v>5</v>
      </c>
      <c r="C15" s="182" t="s">
        <v>170</v>
      </c>
    </row>
    <row r="16" spans="1:5" s="185" customFormat="1" x14ac:dyDescent="0.25">
      <c r="A16" s="182" t="s">
        <v>213</v>
      </c>
      <c r="B16" s="189">
        <f>IF(((B8*2)/1024)&lt;4,4,((B8*2)/1024))</f>
        <v>4</v>
      </c>
      <c r="C16" s="182" t="s">
        <v>170</v>
      </c>
      <c r="E16" s="190"/>
    </row>
    <row r="17" spans="1:3" s="185" customFormat="1" x14ac:dyDescent="0.25">
      <c r="A17" s="182" t="s">
        <v>225</v>
      </c>
      <c r="B17" s="184">
        <f>B14*B16</f>
        <v>80</v>
      </c>
      <c r="C17" s="182" t="s">
        <v>170</v>
      </c>
    </row>
    <row r="18" spans="1:3" s="185" customFormat="1" x14ac:dyDescent="0.25">
      <c r="A18" s="182" t="s">
        <v>226</v>
      </c>
      <c r="B18" s="184">
        <f>B12+B17</f>
        <v>880</v>
      </c>
      <c r="C18" s="182" t="s">
        <v>170</v>
      </c>
    </row>
    <row r="19" spans="1:3" s="185" customFormat="1" x14ac:dyDescent="0.25">
      <c r="A19" s="182" t="s">
        <v>220</v>
      </c>
      <c r="B19" s="184">
        <v>10</v>
      </c>
      <c r="C19" s="182" t="s">
        <v>170</v>
      </c>
    </row>
    <row r="20" spans="1:3" s="185" customFormat="1" x14ac:dyDescent="0.25">
      <c r="A20" s="182" t="s">
        <v>222</v>
      </c>
      <c r="B20" s="184">
        <v>4</v>
      </c>
      <c r="C20" s="182" t="s">
        <v>170</v>
      </c>
    </row>
    <row r="21" spans="1:3" s="185" customFormat="1" x14ac:dyDescent="0.25">
      <c r="A21" s="186" t="s">
        <v>221</v>
      </c>
      <c r="B21" s="184">
        <v>100</v>
      </c>
      <c r="C21" s="186" t="s">
        <v>170</v>
      </c>
    </row>
    <row r="22" spans="1:3" s="185" customFormat="1" ht="26.4" x14ac:dyDescent="0.25">
      <c r="A22" s="187" t="s">
        <v>218</v>
      </c>
      <c r="B22" s="189">
        <f>B12+((B16+B20+B15)*B14)</f>
        <v>1060</v>
      </c>
      <c r="C22" s="186" t="s">
        <v>262</v>
      </c>
    </row>
    <row r="23" spans="1:3" s="185" customFormat="1" x14ac:dyDescent="0.25">
      <c r="A23" s="187" t="s">
        <v>219</v>
      </c>
      <c r="B23" s="189">
        <f>IF(B5&gt;=1,(B22+B18),0)</f>
        <v>1940</v>
      </c>
      <c r="C23" s="186" t="s">
        <v>229</v>
      </c>
    </row>
    <row r="24" spans="1:3" s="185" customFormat="1" x14ac:dyDescent="0.25">
      <c r="A24" s="186"/>
      <c r="B24" s="184"/>
      <c r="C24" s="186"/>
    </row>
    <row r="26" spans="1:3" ht="26.4" x14ac:dyDescent="0.25">
      <c r="A26" s="180" t="s">
        <v>464</v>
      </c>
      <c r="B26" s="180"/>
      <c r="C26" s="180"/>
    </row>
    <row r="27" spans="1:3" x14ac:dyDescent="0.25">
      <c r="A27" s="180"/>
      <c r="B27" s="180" t="s">
        <v>167</v>
      </c>
      <c r="C27" s="180" t="s">
        <v>184</v>
      </c>
    </row>
    <row r="28" spans="1:3" x14ac:dyDescent="0.25">
      <c r="A28" s="188" t="s">
        <v>227</v>
      </c>
      <c r="B28" s="189">
        <f>IF(B3&gt;=1,(B5*B23)+(B6*B22),0)</f>
        <v>3673600</v>
      </c>
      <c r="C28" s="182" t="s">
        <v>230</v>
      </c>
    </row>
    <row r="29" spans="1:3" x14ac:dyDescent="0.25">
      <c r="A29" s="182"/>
      <c r="B29" s="199">
        <f>(B28*8)/3600</f>
        <v>8163.5555555555557</v>
      </c>
      <c r="C29" s="182" t="s">
        <v>8</v>
      </c>
    </row>
    <row r="32" spans="1:3" ht="26.4" x14ac:dyDescent="0.25">
      <c r="A32" s="180" t="s">
        <v>465</v>
      </c>
      <c r="B32" s="180"/>
      <c r="C32" s="180"/>
    </row>
    <row r="33" spans="1:3" x14ac:dyDescent="0.25">
      <c r="A33" s="180"/>
      <c r="B33" s="180" t="s">
        <v>167</v>
      </c>
      <c r="C33" s="180" t="s">
        <v>184</v>
      </c>
    </row>
    <row r="34" spans="1:3" ht="39.6" x14ac:dyDescent="0.25">
      <c r="A34" s="188" t="s">
        <v>263</v>
      </c>
      <c r="B34" s="189">
        <f>B19+B13+((B16+B20+B15)*B14)+B21</f>
        <v>410</v>
      </c>
      <c r="C34" s="182" t="s">
        <v>231</v>
      </c>
    </row>
  </sheetData>
  <sheetProtection algorithmName="SHA-512" hashValue="v58UXzr3XYGSlURnvr7MneTMFqzYQE0J85gux906YsXG9nbtmfBa2Qb5IgqrVv+Yuq1bXrQZgLku98Nkm90cAA==" saltValue="9mE8A1upOZc6jArTr2mOZw==" spinCount="100000" sheet="1" objects="1" scenarios="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9"/>
  <sheetViews>
    <sheetView workbookViewId="0"/>
  </sheetViews>
  <sheetFormatPr defaultColWidth="9.109375" defaultRowHeight="13.2" x14ac:dyDescent="0.25"/>
  <cols>
    <col min="1" max="1" width="41.109375" style="181" customWidth="1"/>
    <col min="2" max="2" width="19.6640625" style="181" customWidth="1"/>
    <col min="3" max="3" width="94.88671875" style="181" customWidth="1"/>
    <col min="4" max="5" width="9.109375" style="181"/>
    <col min="6" max="6" width="9.5546875" style="181" bestFit="1" customWidth="1"/>
    <col min="7" max="11" width="9.109375" style="181"/>
    <col min="12" max="12" width="9.5546875" style="181" bestFit="1" customWidth="1"/>
    <col min="13" max="16384" width="9.109375" style="181"/>
  </cols>
  <sheetData>
    <row r="1" spans="1:3" x14ac:dyDescent="0.25">
      <c r="A1" s="180" t="s">
        <v>289</v>
      </c>
      <c r="B1" s="180"/>
      <c r="C1" s="180"/>
    </row>
    <row r="2" spans="1:3" x14ac:dyDescent="0.25">
      <c r="A2" s="180" t="s">
        <v>175</v>
      </c>
      <c r="B2" s="180" t="s">
        <v>174</v>
      </c>
      <c r="C2" s="180" t="s">
        <v>184</v>
      </c>
    </row>
    <row r="3" spans="1:3" x14ac:dyDescent="0.25">
      <c r="A3" s="182" t="s">
        <v>217</v>
      </c>
      <c r="B3" s="228">
        <f>'Bandwidth Calculator'!C87</f>
        <v>200</v>
      </c>
      <c r="C3" s="182" t="s">
        <v>223</v>
      </c>
    </row>
    <row r="4" spans="1:3" x14ac:dyDescent="0.25">
      <c r="A4" s="182" t="s">
        <v>268</v>
      </c>
      <c r="B4" s="228">
        <f>'Bandwidth Calculator'!BHCA/'Bandwidth Calculator'!Number_of_Agents</f>
        <v>20</v>
      </c>
      <c r="C4" s="183" t="s">
        <v>367</v>
      </c>
    </row>
    <row r="5" spans="1:3" x14ac:dyDescent="0.25">
      <c r="A5" s="182" t="s">
        <v>269</v>
      </c>
      <c r="B5" s="189">
        <f>B3*B4</f>
        <v>4000</v>
      </c>
      <c r="C5" s="183"/>
    </row>
    <row r="6" spans="1:3" x14ac:dyDescent="0.25">
      <c r="A6" s="182" t="s">
        <v>270</v>
      </c>
      <c r="B6" s="228">
        <f>'Bandwidth Calculator'!C88</f>
        <v>10</v>
      </c>
      <c r="C6" s="183" t="s">
        <v>224</v>
      </c>
    </row>
    <row r="7" spans="1:3" x14ac:dyDescent="0.25">
      <c r="A7" s="182" t="s">
        <v>272</v>
      </c>
      <c r="B7" s="189">
        <f>B5*(10/100)</f>
        <v>400</v>
      </c>
      <c r="C7" s="183" t="s">
        <v>281</v>
      </c>
    </row>
    <row r="8" spans="1:3" x14ac:dyDescent="0.25">
      <c r="A8" s="182" t="s">
        <v>271</v>
      </c>
      <c r="B8" s="189">
        <f>B5-B7</f>
        <v>3600</v>
      </c>
      <c r="C8" s="183" t="s">
        <v>282</v>
      </c>
    </row>
    <row r="9" spans="1:3" x14ac:dyDescent="0.25">
      <c r="A9" s="182" t="s">
        <v>275</v>
      </c>
      <c r="B9" s="228">
        <f>'Bandwidth Calculator'!C89</f>
        <v>200</v>
      </c>
      <c r="C9" s="183" t="s">
        <v>291</v>
      </c>
    </row>
    <row r="10" spans="1:3" x14ac:dyDescent="0.25">
      <c r="A10" s="182" t="s">
        <v>276</v>
      </c>
      <c r="B10" s="228">
        <f>'Bandwidth Calculator'!C90</f>
        <v>500</v>
      </c>
      <c r="C10" s="183" t="s">
        <v>291</v>
      </c>
    </row>
    <row r="11" spans="1:3" x14ac:dyDescent="0.25">
      <c r="A11" s="182" t="s">
        <v>279</v>
      </c>
      <c r="B11" s="228">
        <f>'Bandwidth Calculator'!C91</f>
        <v>2</v>
      </c>
      <c r="C11" s="183" t="s">
        <v>223</v>
      </c>
    </row>
    <row r="12" spans="1:3" x14ac:dyDescent="0.25">
      <c r="A12" s="182"/>
      <c r="B12" s="184"/>
      <c r="C12" s="183"/>
    </row>
    <row r="14" spans="1:3" s="185" customFormat="1" x14ac:dyDescent="0.25">
      <c r="A14" s="180" t="s">
        <v>290</v>
      </c>
      <c r="B14" s="180" t="s">
        <v>430</v>
      </c>
      <c r="C14" s="180" t="s">
        <v>184</v>
      </c>
    </row>
    <row r="15" spans="1:3" s="185" customFormat="1" x14ac:dyDescent="0.25">
      <c r="A15" s="182" t="s">
        <v>273</v>
      </c>
      <c r="B15" s="184">
        <f>2*300*8</f>
        <v>4800</v>
      </c>
      <c r="C15" s="182" t="s">
        <v>433</v>
      </c>
    </row>
    <row r="16" spans="1:3" s="185" customFormat="1" x14ac:dyDescent="0.25">
      <c r="A16" s="187" t="s">
        <v>283</v>
      </c>
      <c r="B16" s="189">
        <f>B11*(B9+B15)*8</f>
        <v>80000</v>
      </c>
      <c r="C16" s="186" t="s">
        <v>431</v>
      </c>
    </row>
    <row r="17" spans="1:3" s="185" customFormat="1" x14ac:dyDescent="0.25">
      <c r="A17" s="187" t="s">
        <v>284</v>
      </c>
      <c r="B17" s="189">
        <f>B11*(B10+B15)*8</f>
        <v>84800</v>
      </c>
      <c r="C17" s="186" t="s">
        <v>432</v>
      </c>
    </row>
    <row r="19" spans="1:3" x14ac:dyDescent="0.25">
      <c r="A19" s="180" t="s">
        <v>63</v>
      </c>
      <c r="B19" s="180"/>
      <c r="C19" s="180"/>
    </row>
    <row r="20" spans="1:3" x14ac:dyDescent="0.25">
      <c r="A20" s="180"/>
      <c r="B20" s="180" t="s">
        <v>174</v>
      </c>
      <c r="C20" s="180" t="s">
        <v>184</v>
      </c>
    </row>
    <row r="21" spans="1:3" x14ac:dyDescent="0.25">
      <c r="A21" s="200" t="s">
        <v>365</v>
      </c>
      <c r="B21" s="189">
        <f>B16*B8/1024</f>
        <v>281250</v>
      </c>
      <c r="C21" s="182" t="s">
        <v>366</v>
      </c>
    </row>
    <row r="22" spans="1:3" x14ac:dyDescent="0.25">
      <c r="A22" s="200" t="s">
        <v>434</v>
      </c>
      <c r="B22" s="189">
        <f>B17*B7/1024</f>
        <v>33125</v>
      </c>
      <c r="C22" s="182" t="s">
        <v>366</v>
      </c>
    </row>
    <row r="23" spans="1:3" x14ac:dyDescent="0.25">
      <c r="A23" s="200" t="s">
        <v>63</v>
      </c>
      <c r="B23" s="199">
        <f>(B21+B22)/3600</f>
        <v>87.326388888888886</v>
      </c>
      <c r="C23" s="182" t="s">
        <v>8</v>
      </c>
    </row>
    <row r="27" spans="1:3" x14ac:dyDescent="0.25">
      <c r="B27" s="240"/>
    </row>
    <row r="28" spans="1:3" x14ac:dyDescent="0.25">
      <c r="B28" s="240"/>
    </row>
    <row r="29" spans="1:3" x14ac:dyDescent="0.25">
      <c r="B29" s="240"/>
    </row>
  </sheetData>
  <sheetProtection algorithmName="SHA-512" hashValue="Z44AzJjUtkGZxhtAGnngNNa8PMKyo6CnCKWUu/3/47Y549lXyVrC0hH+cldrcHXrG+MloG+fzSv8AyxqvyGCDg==" saltValue="tuAWc8gSFDETtemCmRCdcQ==" spinCount="100000" sheet="1" objects="1" scenarios="1" selectLockedCells="1" selectUn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23"/>
  <sheetViews>
    <sheetView workbookViewId="0"/>
  </sheetViews>
  <sheetFormatPr defaultColWidth="9.109375" defaultRowHeight="13.2" x14ac:dyDescent="0.25"/>
  <cols>
    <col min="1" max="1" width="47" style="181" customWidth="1"/>
    <col min="2" max="2" width="16.44140625" style="181" bestFit="1" customWidth="1"/>
    <col min="3" max="3" width="94.88671875" style="181" customWidth="1"/>
    <col min="4" max="5" width="9.109375" style="181"/>
    <col min="6" max="6" width="9.5546875" style="181" bestFit="1" customWidth="1"/>
    <col min="7" max="11" width="9.109375" style="181"/>
    <col min="12" max="12" width="9.5546875" style="181" bestFit="1" customWidth="1"/>
    <col min="13" max="16384" width="9.109375" style="181"/>
  </cols>
  <sheetData>
    <row r="1" spans="1:3" x14ac:dyDescent="0.25">
      <c r="A1" s="198" t="s">
        <v>287</v>
      </c>
      <c r="B1" s="198"/>
      <c r="C1" s="198"/>
    </row>
    <row r="2" spans="1:3" x14ac:dyDescent="0.25">
      <c r="A2" s="198" t="s">
        <v>175</v>
      </c>
      <c r="B2" s="198" t="s">
        <v>174</v>
      </c>
      <c r="C2" s="198" t="s">
        <v>184</v>
      </c>
    </row>
    <row r="3" spans="1:3" x14ac:dyDescent="0.25">
      <c r="A3" s="186" t="s">
        <v>217</v>
      </c>
      <c r="B3" s="228">
        <f>'Bandwidth Calculator'!C95</f>
        <v>200</v>
      </c>
      <c r="C3" s="186" t="s">
        <v>223</v>
      </c>
    </row>
    <row r="4" spans="1:3" x14ac:dyDescent="0.25">
      <c r="A4" s="186" t="s">
        <v>268</v>
      </c>
      <c r="B4" s="228">
        <f>'Bandwidth Calculator'!BHCA/'Bandwidth Calculator'!Number_of_Agents</f>
        <v>20</v>
      </c>
      <c r="C4" s="186" t="s">
        <v>223</v>
      </c>
    </row>
    <row r="5" spans="1:3" x14ac:dyDescent="0.25">
      <c r="A5" s="186" t="s">
        <v>269</v>
      </c>
      <c r="B5" s="189">
        <f>B3*B4</f>
        <v>4000</v>
      </c>
      <c r="C5" s="186"/>
    </row>
    <row r="6" spans="1:3" x14ac:dyDescent="0.25">
      <c r="A6" s="182" t="s">
        <v>270</v>
      </c>
      <c r="B6" s="238">
        <f>'Bandwidth Calculator'!C96</f>
        <v>10</v>
      </c>
      <c r="C6" s="186" t="s">
        <v>224</v>
      </c>
    </row>
    <row r="7" spans="1:3" x14ac:dyDescent="0.25">
      <c r="A7" s="182" t="s">
        <v>272</v>
      </c>
      <c r="B7" s="195">
        <f>B5*(10/100)</f>
        <v>400</v>
      </c>
      <c r="C7" s="186" t="s">
        <v>281</v>
      </c>
    </row>
    <row r="8" spans="1:3" x14ac:dyDescent="0.25">
      <c r="A8" s="182" t="s">
        <v>271</v>
      </c>
      <c r="B8" s="195">
        <f>B5-B7</f>
        <v>3600</v>
      </c>
      <c r="C8" s="186" t="s">
        <v>282</v>
      </c>
    </row>
    <row r="9" spans="1:3" x14ac:dyDescent="0.25">
      <c r="A9" s="182" t="s">
        <v>278</v>
      </c>
      <c r="B9" s="238">
        <f>'Bandwidth Calculator'!C97</f>
        <v>128</v>
      </c>
      <c r="C9" s="186" t="s">
        <v>291</v>
      </c>
    </row>
    <row r="10" spans="1:3" x14ac:dyDescent="0.25">
      <c r="A10" s="182" t="s">
        <v>277</v>
      </c>
      <c r="B10" s="238">
        <f>'Bandwidth Calculator'!C98</f>
        <v>128</v>
      </c>
      <c r="C10" s="186" t="s">
        <v>291</v>
      </c>
    </row>
    <row r="11" spans="1:3" x14ac:dyDescent="0.25">
      <c r="A11" s="182" t="s">
        <v>280</v>
      </c>
      <c r="B11" s="238">
        <f>'Bandwidth Calculator'!C99</f>
        <v>2</v>
      </c>
      <c r="C11" s="186" t="s">
        <v>223</v>
      </c>
    </row>
    <row r="12" spans="1:3" x14ac:dyDescent="0.25">
      <c r="A12" s="182"/>
      <c r="B12" s="196"/>
      <c r="C12" s="186"/>
    </row>
    <row r="14" spans="1:3" s="185" customFormat="1" x14ac:dyDescent="0.25">
      <c r="A14" s="180" t="s">
        <v>288</v>
      </c>
      <c r="B14" s="180" t="s">
        <v>437</v>
      </c>
      <c r="C14" s="198" t="s">
        <v>184</v>
      </c>
    </row>
    <row r="15" spans="1:3" s="185" customFormat="1" x14ac:dyDescent="0.25">
      <c r="A15" s="182" t="s">
        <v>274</v>
      </c>
      <c r="B15" s="196">
        <f>2*512*8</f>
        <v>8192</v>
      </c>
      <c r="C15" s="186" t="s">
        <v>440</v>
      </c>
    </row>
    <row r="16" spans="1:3" s="185" customFormat="1" x14ac:dyDescent="0.25">
      <c r="A16" s="187" t="s">
        <v>285</v>
      </c>
      <c r="B16" s="195">
        <f>B11*((B9+B15))*8</f>
        <v>133120</v>
      </c>
      <c r="C16" s="186" t="s">
        <v>438</v>
      </c>
    </row>
    <row r="17" spans="1:3" s="185" customFormat="1" x14ac:dyDescent="0.25">
      <c r="A17" s="187" t="s">
        <v>286</v>
      </c>
      <c r="B17" s="195">
        <f>B11*((B10+B15))*8</f>
        <v>133120</v>
      </c>
      <c r="C17" s="186" t="s">
        <v>439</v>
      </c>
    </row>
    <row r="19" spans="1:3" x14ac:dyDescent="0.25">
      <c r="A19" s="180" t="s">
        <v>63</v>
      </c>
      <c r="B19" s="180"/>
      <c r="C19" s="198"/>
    </row>
    <row r="20" spans="1:3" x14ac:dyDescent="0.25">
      <c r="A20" s="180"/>
      <c r="B20" s="180" t="s">
        <v>174</v>
      </c>
      <c r="C20" s="198" t="s">
        <v>184</v>
      </c>
    </row>
    <row r="21" spans="1:3" x14ac:dyDescent="0.25">
      <c r="A21" s="200" t="s">
        <v>368</v>
      </c>
      <c r="B21" s="196">
        <f>B16*B8/1024</f>
        <v>468000</v>
      </c>
      <c r="C21" s="186" t="s">
        <v>366</v>
      </c>
    </row>
    <row r="22" spans="1:3" x14ac:dyDescent="0.25">
      <c r="A22" s="200" t="s">
        <v>369</v>
      </c>
      <c r="B22" s="197">
        <f>B17*B7/1024</f>
        <v>52000</v>
      </c>
      <c r="C22" s="186" t="s">
        <v>366</v>
      </c>
    </row>
    <row r="23" spans="1:3" x14ac:dyDescent="0.25">
      <c r="A23" s="200" t="s">
        <v>63</v>
      </c>
      <c r="B23" s="201">
        <f>(B22+B21)/3600</f>
        <v>144.44444444444446</v>
      </c>
      <c r="C23" s="227" t="s">
        <v>8</v>
      </c>
    </row>
  </sheetData>
  <sheetProtection algorithmName="SHA-512" hashValue="zAxWCM6HtHKIQm/THO6H1Aj6ZaFDjG+Fpxn6uxh3XplHWrS1IOFLrnKjeMzJNMeV8Cd16ny9RxmPYKqFvcMiCA==" saltValue="228EFv7nZgDin2YY61GSh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112</vt:i4>
      </vt:variant>
    </vt:vector>
  </HeadingPairs>
  <TitlesOfParts>
    <vt:vector size="123" baseType="lpstr">
      <vt:lpstr>Instructions</vt:lpstr>
      <vt:lpstr>Bandwidth Calculator</vt:lpstr>
      <vt:lpstr> Finesse Desktop BW</vt:lpstr>
      <vt:lpstr>Finesse BW Data</vt:lpstr>
      <vt:lpstr>Finesse LD Report BW Data</vt:lpstr>
      <vt:lpstr>Email BW Data</vt:lpstr>
      <vt:lpstr>Chat BW Data</vt:lpstr>
      <vt:lpstr>EDBS BW Data</vt:lpstr>
      <vt:lpstr>REST APIs BW Data</vt:lpstr>
      <vt:lpstr>CUIC Reporting BW Data</vt:lpstr>
      <vt:lpstr>Fippa BW Data</vt:lpstr>
      <vt:lpstr>' Finesse Desktop BW'!Agent_Call_Wrap_Up_Time</vt:lpstr>
      <vt:lpstr>'Bandwidth Calculator'!Agent_Call_Wrap_Up_Time</vt:lpstr>
      <vt:lpstr>' Finesse Desktop BW'!Agent_Call_Wrap_Up_Time_v901</vt:lpstr>
      <vt:lpstr>'Bandwidth Calculator'!Agent_Call_Wrap_Up_Time_v901</vt:lpstr>
      <vt:lpstr>' Finesse Desktop BW'!Agent_Statistics_Update_Interval_v801</vt:lpstr>
      <vt:lpstr>'Bandwidth Calculator'!Agent_Statistics_Update_Interval_v801</vt:lpstr>
      <vt:lpstr>' Finesse Desktop BW'!Average_Call_Duration</vt:lpstr>
      <vt:lpstr>' Finesse Desktop BW'!Average_Call_Duration_v901</vt:lpstr>
      <vt:lpstr>' Finesse Desktop BW'!Average_number_of_agents_per_Team</vt:lpstr>
      <vt:lpstr>'Bandwidth Calculator'!Average_number_of_agents_per_Team</vt:lpstr>
      <vt:lpstr>' Finesse Desktop BW'!Average_number_of_agents_per_team_v901</vt:lpstr>
      <vt:lpstr>'Bandwidth Calculator'!Average_number_of_agents_per_team_v901</vt:lpstr>
      <vt:lpstr>' Finesse Desktop BW'!Average_number_of_Skill_Groups_per_Agent_v901</vt:lpstr>
      <vt:lpstr>'Bandwidth Calculator'!Average_number_of_Skill_Groups_per_Agent_v901</vt:lpstr>
      <vt:lpstr>' Finesse Desktop BW'!Average_number_of_Skill_Groups_per_Supervisor</vt:lpstr>
      <vt:lpstr>'Bandwidth Calculator'!Average_number_of_Skill_Groups_per_Supervisor</vt:lpstr>
      <vt:lpstr>Avg_Agent_State_Changes_Per_Call_NoWrap</vt:lpstr>
      <vt:lpstr>Avg_Agent_State_Changes_Per_Call_NoWrap_v91</vt:lpstr>
      <vt:lpstr>Avg_Agent_State_Changes_Per_Call_Wrap</vt:lpstr>
      <vt:lpstr>Avg_Agent_State_Changes_Per_Call_Wrap_v91</vt:lpstr>
      <vt:lpstr>Avg_Number_Dialog_Events_Per_ConfCall</vt:lpstr>
      <vt:lpstr>Avg_Number_Dialog_Events_Per_IncomingCall</vt:lpstr>
      <vt:lpstr>Avg_Number_Dialog_Events_Per_OutCall</vt:lpstr>
      <vt:lpstr>Avg_Number_Dialog_Events_Per_XferCall</vt:lpstr>
      <vt:lpstr>Bandwidth_Confidence_Factor_v9</vt:lpstr>
      <vt:lpstr>Bandwidth_Confidence_Factor_v91</vt:lpstr>
      <vt:lpstr>' Finesse Desktop BW'!BHCA</vt:lpstr>
      <vt:lpstr>'Bandwidth Calculator'!BHCA</vt:lpstr>
      <vt:lpstr>' Finesse Desktop BW'!BHCA_v901</vt:lpstr>
      <vt:lpstr>'Bandwidth Calculator'!BHCA_v901</vt:lpstr>
      <vt:lpstr>Bytes_Per_Call_Variable_Value</vt:lpstr>
      <vt:lpstr>' Finesse Desktop BW'!Calls_Per_Second</vt:lpstr>
      <vt:lpstr>' Finesse Desktop BW'!Calls_Per_Second_v901</vt:lpstr>
      <vt:lpstr>' Finesse Desktop BW'!Max_Login_Time_All_Agents</vt:lpstr>
      <vt:lpstr>'Bandwidth Calculator'!Max_Login_Time_All_Agents</vt:lpstr>
      <vt:lpstr>' Finesse Desktop BW'!Max_Login_Time_All_Users</vt:lpstr>
      <vt:lpstr>'Bandwidth Calculator'!Max_Login_Time_All_Users</vt:lpstr>
      <vt:lpstr>' Finesse Desktop BW'!Maximum_Login_Time_for_all_users</vt:lpstr>
      <vt:lpstr>'Bandwidth Calculator'!Maximum_Login_Time_for_all_users</vt:lpstr>
      <vt:lpstr>' Finesse Desktop BW'!Number_of_Agent_Statistics_v801</vt:lpstr>
      <vt:lpstr>'Bandwidth Calculator'!Number_of_Agent_Statistics_v801</vt:lpstr>
      <vt:lpstr>' Finesse Desktop BW'!Number_of_Agents</vt:lpstr>
      <vt:lpstr>'Bandwidth Calculator'!Number_of_Agents</vt:lpstr>
      <vt:lpstr>' Finesse Desktop BW'!Number_of_All_Agents_Monitors_v801</vt:lpstr>
      <vt:lpstr>'Bandwidth Calculator'!Number_of_All_Agents_Monitors_v801</vt:lpstr>
      <vt:lpstr>Number_of_Call_Variables</vt:lpstr>
      <vt:lpstr>Number_of_Call_Variables_v91</vt:lpstr>
      <vt:lpstr>'Bandwidth Calculator'!Number_of_Configured_Call_variables</vt:lpstr>
      <vt:lpstr>Number_of_Configured_Call_variables</vt:lpstr>
      <vt:lpstr>' Finesse Desktop BW'!Number_of_Configured_ECC_variables</vt:lpstr>
      <vt:lpstr>'Bandwidth Calculator'!Number_of_Configured_ECC_variables</vt:lpstr>
      <vt:lpstr>' Finesse Desktop BW'!Number_of_Configured_ECC_variables_v901</vt:lpstr>
      <vt:lpstr>'Bandwidth Calculator'!Number_of_Configured_ECC_variables_v901</vt:lpstr>
      <vt:lpstr>' Finesse Desktop BW'!Number_of_Skill_Group_Statistics_v801</vt:lpstr>
      <vt:lpstr>'Bandwidth Calculator'!Number_of_Skill_Group_Statistics_v801</vt:lpstr>
      <vt:lpstr>' Finesse Desktop BW'!Number_of_Skill_Groups_per_Agent_v801</vt:lpstr>
      <vt:lpstr>'Bandwidth Calculator'!Number_of_Skill_Groups_per_Agent_v801</vt:lpstr>
      <vt:lpstr>' Finesse Desktop BW'!Number_of_Skill_Groups_per_Supervisor_v901</vt:lpstr>
      <vt:lpstr>'Bandwidth Calculator'!Number_of_Skill_Groups_per_Supervisor_v901</vt:lpstr>
      <vt:lpstr>'Bandwidth Calculator'!Number_of_Skill_Groups_PG</vt:lpstr>
      <vt:lpstr>Number_of_Skill_Groups_PG</vt:lpstr>
      <vt:lpstr>' Finesse Desktop BW'!Number_of_Supervisors</vt:lpstr>
      <vt:lpstr>'Bandwidth Calculator'!Number_of_Supervisors</vt:lpstr>
      <vt:lpstr>'Bandwidth Calculator'!Number_of_Supervisors_v10</vt:lpstr>
      <vt:lpstr>Number_of_Supervisors_v10</vt:lpstr>
      <vt:lpstr>' Finesse Desktop BW'!Number_of_Supervisors_v901</vt:lpstr>
      <vt:lpstr>'Bandwidth Calculator'!Number_of_Supervisors_v901</vt:lpstr>
      <vt:lpstr>' Finesse Desktop BW'!Percentage_Calls_Silently_Monitored</vt:lpstr>
      <vt:lpstr>'Bandwidth Calculator'!Percentage_Calls_Silently_Monitored</vt:lpstr>
      <vt:lpstr>'Bandwidth Calculator'!Percentage_of_BargedCalls</vt:lpstr>
      <vt:lpstr>Percentage_of_BargedCalls</vt:lpstr>
      <vt:lpstr>' Finesse Desktop BW'!Percentage_of_Calls_that_are_silently_monitored</vt:lpstr>
      <vt:lpstr>'Bandwidth Calculator'!Percentage_of_Calls_that_are_silently_monitored</vt:lpstr>
      <vt:lpstr>' Finesse Desktop BW'!Percentage_of_Consultative_Conference_Calls</vt:lpstr>
      <vt:lpstr>'Bandwidth Calculator'!Percentage_of_Consultative_Conference_Calls</vt:lpstr>
      <vt:lpstr>' Finesse Desktop BW'!Percentage_of_Consultative_Conference_Calls_v901</vt:lpstr>
      <vt:lpstr>'Bandwidth Calculator'!Percentage_of_Consultative_Conference_Calls_v901</vt:lpstr>
      <vt:lpstr>' Finesse Desktop BW'!Percentage_of_Consultative_Transfer_Calls</vt:lpstr>
      <vt:lpstr>'Bandwidth Calculator'!Percentage_of_Consultative_Transfer_Calls</vt:lpstr>
      <vt:lpstr>' Finesse Desktop BW'!Percentage_of_Consultative_Transfer_Calls_v901</vt:lpstr>
      <vt:lpstr>'Bandwidth Calculator'!Percentage_of_Consultative_Transfer_Calls_v901</vt:lpstr>
      <vt:lpstr>' Finesse Desktop BW'!Percentage_of_Incoming_Straight_Calls</vt:lpstr>
      <vt:lpstr>'Bandwidth Calculator'!Percentage_of_Incoming_Straight_Calls</vt:lpstr>
      <vt:lpstr>' Finesse Desktop BW'!Percentage_of_Incoming_Straight_Calls_v901</vt:lpstr>
      <vt:lpstr>'Bandwidth Calculator'!Percentage_of_Incoming_Straight_Calls_v901</vt:lpstr>
      <vt:lpstr>'Bandwidth Calculator'!Percentage_of_InterceptedCalls</vt:lpstr>
      <vt:lpstr>Percentage_of_InterceptedCalls</vt:lpstr>
      <vt:lpstr>' Finesse Desktop BW'!Percentage_of_Outgoing_Straight_Calls</vt:lpstr>
      <vt:lpstr>'Bandwidth Calculator'!Percentage_of_Outgoing_Straight_Calls</vt:lpstr>
      <vt:lpstr>' Finesse Desktop BW'!Percentage_of_Outgoing_Straight_Calls_v901</vt:lpstr>
      <vt:lpstr>'Bandwidth Calculator'!Percentage_of_Outgoing_Straight_Calls_v901</vt:lpstr>
      <vt:lpstr>' Finesse Desktop BW'!Percentage_of_Single_Step_Transfer_Calls_v801</vt:lpstr>
      <vt:lpstr>'Bandwidth Calculator'!Percentage_of_Single_Step_Transfer_Calls_v801</vt:lpstr>
      <vt:lpstr>'Bandwidth Calculator'!Percentage_of_SingleStep_Transfer_Calls</vt:lpstr>
      <vt:lpstr>Percentage_of_SingleStep_Transfer_Calls</vt:lpstr>
      <vt:lpstr>Skill_Group_Refresh_Rate</vt:lpstr>
      <vt:lpstr>Skill_Group_Refresh_Rate_v91</vt:lpstr>
      <vt:lpstr>' Finesse Desktop BW'!Skill_Group_Update_Interval_v801</vt:lpstr>
      <vt:lpstr>'Bandwidth Calculator'!Skill_Group_Update_Interval_v801</vt:lpstr>
      <vt:lpstr>' Finesse Desktop BW'!Sum_of_all_Call_Variable_Values</vt:lpstr>
      <vt:lpstr>'Bandwidth Calculator'!Sum_of_all_Call_Variable_Values</vt:lpstr>
      <vt:lpstr>' Finesse Desktop BW'!Sum_of_all_Call_Variable_Values_v901</vt:lpstr>
      <vt:lpstr>'Bandwidth Calculator'!Sum_of_all_Call_Variable_Values_v901</vt:lpstr>
      <vt:lpstr>' Finesse Desktop BW'!Sum_of_all_ECC_Variable_Names</vt:lpstr>
      <vt:lpstr>'Bandwidth Calculator'!Sum_of_all_ECC_Variable_Names</vt:lpstr>
      <vt:lpstr>' Finesse Desktop BW'!Sum_of_all_ECC_Variable_Names_v901</vt:lpstr>
      <vt:lpstr>'Bandwidth Calculator'!Sum_of_all_ECC_Variable_Names_v901</vt:lpstr>
      <vt:lpstr>' Finesse Desktop BW'!Sum_of_all_ECC_Variable_Values</vt:lpstr>
      <vt:lpstr>'Bandwidth Calculator'!Sum_of_all_ECC_Variable_Values</vt:lpstr>
      <vt:lpstr>' Finesse Desktop BW'!Sum_of_all_ECC_Variable_Values_v901</vt:lpstr>
      <vt:lpstr>'Bandwidth Calculator'!Sum_of_all_ECC_Variable_Values_v901</vt:lpstr>
      <vt:lpstr>' Finesse Desktop BW'!Total</vt:lpstr>
    </vt:vector>
  </TitlesOfParts>
  <Company>Cisco Systems,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ahampiho</cp:lastModifiedBy>
  <cp:lastPrinted>2017-10-30T10:21:59Z</cp:lastPrinted>
  <dcterms:created xsi:type="dcterms:W3CDTF">2005-06-07T14:17:23Z</dcterms:created>
  <dcterms:modified xsi:type="dcterms:W3CDTF">2018-02-12T11:50:53Z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