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rajeshwk\Desktop\Finesse 11.6\Review Docs\Bandwidth Calculator\"/>
    </mc:Choice>
  </mc:AlternateContent>
  <bookViews>
    <workbookView xWindow="0" yWindow="570" windowWidth="23250" windowHeight="13050" activeTab="2"/>
  </bookViews>
  <sheets>
    <sheet name="Instructions" sheetId="15" r:id="rId1"/>
    <sheet name="Finesse 11.6" sheetId="17" r:id="rId2"/>
    <sheet name="BW Data" sheetId="5" r:id="rId3"/>
  </sheets>
  <definedNames>
    <definedName name="Agent_Call_Wrap_Up_Time" localSheetId="1">'Finesse 11.6'!$B$21</definedName>
    <definedName name="Agent_Call_Wrap_Up_Time_v70" localSheetId="1">#REF!</definedName>
    <definedName name="Agent_Call_Wrap_Up_Time_v70">#REF!</definedName>
    <definedName name="Agent_Call_Wrap_Up_Time_v711" localSheetId="1">#REF!</definedName>
    <definedName name="Agent_Call_Wrap_Up_Time_v711">#REF!</definedName>
    <definedName name="Agent_Call_Wrap_Up_Time_v721" localSheetId="1">#REF!</definedName>
    <definedName name="Agent_Call_Wrap_Up_Time_v721">#REF!</definedName>
    <definedName name="Agent_Call_Wrap_Up_Time_v751" localSheetId="1">#REF!</definedName>
    <definedName name="Agent_Call_Wrap_Up_Time_v751">#REF!</definedName>
    <definedName name="Agent_Call_Wrap_Up_Time_v901" localSheetId="1">'Finesse 11.6'!$B$21</definedName>
    <definedName name="Agent_Call_Wrap_Up_Time_v901">#REF!</definedName>
    <definedName name="Agent_Statistics_Update_Interval_v5x" localSheetId="1">#REF!</definedName>
    <definedName name="Agent_Statistics_Update_Interval_v5x">#REF!</definedName>
    <definedName name="Agent_Statistics_Update_Interval_v60" localSheetId="1">#REF!</definedName>
    <definedName name="Agent_Statistics_Update_Interval_v60">#REF!</definedName>
    <definedName name="Agent_Statistics_Update_Interval_v70" localSheetId="1">#REF!</definedName>
    <definedName name="Agent_Statistics_Update_Interval_v70">#REF!</definedName>
    <definedName name="Agent_Statistics_Update_Interval_v711" localSheetId="1">#REF!</definedName>
    <definedName name="Agent_Statistics_Update_Interval_v711">#REF!</definedName>
    <definedName name="Agent_Statistics_Update_Interval_v721" localSheetId="1">#REF!</definedName>
    <definedName name="Agent_Statistics_Update_Interval_v721">#REF!</definedName>
    <definedName name="Agent_Statistics_Update_Interval_v751" localSheetId="1">#REF!</definedName>
    <definedName name="Agent_Statistics_Update_Interval_v751">#REF!</definedName>
    <definedName name="Agent_Statistics_Update_Interval_v801" localSheetId="1">'Finesse 11.6'!$B$55</definedName>
    <definedName name="Agent_Statistics_Update_Interval_v801">#REF!</definedName>
    <definedName name="Agent_Task_Wrap_Up_Time">'Finesse 11.6'!$B$26</definedName>
    <definedName name="Average_Call_Duration" localSheetId="1">'Finesse 11.6'!$B$22</definedName>
    <definedName name="Average_Call_Duration_v5x" localSheetId="1">#REF!</definedName>
    <definedName name="Average_Call_Duration_v5x">#REF!</definedName>
    <definedName name="Average_Call_Duration_v60" localSheetId="1">#REF!</definedName>
    <definedName name="Average_Call_Duration_v60">#REF!</definedName>
    <definedName name="Average_Call_Duration_v70" localSheetId="1">#REF!</definedName>
    <definedName name="Average_Call_Duration_v70">#REF!</definedName>
    <definedName name="Average_Call_Duration_v711" localSheetId="1">#REF!</definedName>
    <definedName name="Average_Call_Duration_v711">#REF!</definedName>
    <definedName name="Average_Call_Duration_v721" localSheetId="1">#REF!</definedName>
    <definedName name="Average_Call_Duration_v721">#REF!</definedName>
    <definedName name="Average_Call_Duration_v751" localSheetId="1">#REF!</definedName>
    <definedName name="Average_Call_Duration_v751">#REF!</definedName>
    <definedName name="Average_Call_Duration_v901" localSheetId="1">'Finesse 11.6'!$B$22</definedName>
    <definedName name="Average_Call_Duration_v901">#REF!</definedName>
    <definedName name="Average_number_of_Agent_Skill_Groups_Monitored_by_a_Supervisor_v5x" localSheetId="1">#REF!</definedName>
    <definedName name="Average_number_of_Agent_Skill_Groups_Monitored_by_a_Supervisor_v5x">#REF!</definedName>
    <definedName name="Average_number_of_Agent_Skill_Groups_Monitored_by_a_Supervisor_v60" localSheetId="1">#REF!</definedName>
    <definedName name="Average_number_of_Agent_Skill_Groups_Monitored_by_a_Supervisor_v60">#REF!</definedName>
    <definedName name="Average_number_of_Agent_Skill_Groups_Monitored_by_a_Supervisor_v70" localSheetId="1">#REF!</definedName>
    <definedName name="Average_number_of_Agent_Skill_Groups_Monitored_by_a_Supervisor_v70">#REF!</definedName>
    <definedName name="Average_number_of_Agent_Skill_Groups_Monitored_by_a_Supervisor_v711" localSheetId="1">#REF!</definedName>
    <definedName name="Average_number_of_Agent_Skill_Groups_Monitored_by_a_Supervisor_v711">#REF!</definedName>
    <definedName name="Average_number_of_Agent_Skill_Groups_Monitored_by_a_Supervisor_v721" localSheetId="1">#REF!</definedName>
    <definedName name="Average_number_of_Agent_Skill_Groups_Monitored_by_a_Supervisor_v721">#REF!</definedName>
    <definedName name="Average_number_of_Agent_Skill_Groups_Monitored_by_a_Supervisor_v751" localSheetId="1">#REF!</definedName>
    <definedName name="Average_number_of_Agent_Skill_Groups_Monitored_by_a_Supervisor_v751">#REF!</definedName>
    <definedName name="Average_number_of_Agent_Skill_Groups_Monitored_by_a_Supervisor_v901" localSheetId="1">'Finesse 11.6'!#REF!</definedName>
    <definedName name="Average_number_of_Agent_Skill_Groups_Monitored_by_a_Supervisor_v901">#REF!</definedName>
    <definedName name="Average_number_of_agents_per_Team" localSheetId="1">'Finesse 11.6'!$B$48</definedName>
    <definedName name="Average_number_of_agents_per_team_v901" localSheetId="1">'Finesse 11.6'!$B$48</definedName>
    <definedName name="Average_number_of_agents_per_team_v901">#REF!</definedName>
    <definedName name="Average_number_of_Skill_Groups_per_Agent_v5x" localSheetId="1">#REF!</definedName>
    <definedName name="Average_number_of_Skill_Groups_per_Agent_v5x">#REF!</definedName>
    <definedName name="Average_number_of_Skill_Groups_per_Agent_v60" localSheetId="1">#REF!</definedName>
    <definedName name="Average_number_of_Skill_Groups_per_Agent_v60">#REF!</definedName>
    <definedName name="Average_number_of_Skill_Groups_per_Agent_v70" localSheetId="1">#REF!</definedName>
    <definedName name="Average_number_of_Skill_Groups_per_Agent_v70">#REF!</definedName>
    <definedName name="Average_number_of_Skill_Groups_per_Agent_v711" localSheetId="1">#REF!</definedName>
    <definedName name="Average_number_of_Skill_Groups_per_Agent_v711">#REF!</definedName>
    <definedName name="Average_number_of_Skill_Groups_per_Agent_v721" localSheetId="1">#REF!</definedName>
    <definedName name="Average_number_of_Skill_Groups_per_Agent_v721">#REF!</definedName>
    <definedName name="Average_number_of_Skill_Groups_per_Agent_v751" localSheetId="1">#REF!</definedName>
    <definedName name="Average_number_of_Skill_Groups_per_Agent_v751">#REF!</definedName>
    <definedName name="Average_number_of_Skill_Groups_per_Agent_v901" localSheetId="1">'Finesse 11.6'!$B$47</definedName>
    <definedName name="Average_number_of_Skill_Groups_per_Agent_v901">#REF!</definedName>
    <definedName name="Average_number_of_Skill_Groups_per_Supervisor" localSheetId="1">'Finesse 11.6'!$B$49</definedName>
    <definedName name="Average_Task_Duration">'Finesse 11.6'!$B$27</definedName>
    <definedName name="Avg_Agent_State_Changes_Per_Call_NoWrap">'BW Data'!$B$51</definedName>
    <definedName name="Avg_Agent_State_Changes_Per_Call_NoWrap_v91">'BW Data'!$D$51</definedName>
    <definedName name="Avg_Agent_State_Changes_Per_Call_Wrap">'BW Data'!$B$52</definedName>
    <definedName name="Avg_Agent_State_Changes_Per_Call_Wrap_v91">'BW Data'!$D$52</definedName>
    <definedName name="Avg_Agent_State_Changes_Per_Task_NoWrap">'BW Data'!$E$53</definedName>
    <definedName name="Avg_agent_state_Changes_Per_Task_Wrap">'BW Data'!$E$54</definedName>
    <definedName name="Avg_Number_Dialog_Events_Per_ConfCall">'BW Data'!$B$57</definedName>
    <definedName name="Avg_Number_Dialog_Events_Per_IncomingCall">'BW Data'!$B$56</definedName>
    <definedName name="Avg_Number_Dialog_Events_Per_OutCall">'BW Data'!$B$58</definedName>
    <definedName name="Avg_Number_Dialog_Events_Per_XferCall">'BW Data'!$B$59</definedName>
    <definedName name="Bandwidth_Confidence_Factor">'BW Data'!$E$49</definedName>
    <definedName name="Bandwidth_Confidence_Factor_v5x" localSheetId="1">'BW Data'!#REF!</definedName>
    <definedName name="Bandwidth_Confidence_Factor_v5x">'BW Data'!#REF!</definedName>
    <definedName name="Bandwidth_Confidence_Factor_v60" localSheetId="1">'BW Data'!#REF!</definedName>
    <definedName name="Bandwidth_Confidence_Factor_v60">'BW Data'!#REF!</definedName>
    <definedName name="Bandwidth_Confidence_Factor_v70_Security_On" localSheetId="1">'BW Data'!#REF!</definedName>
    <definedName name="Bandwidth_Confidence_Factor_v70_Security_On">'BW Data'!#REF!</definedName>
    <definedName name="Bandwidth_Confidence_Factor_v711_Security_Off" localSheetId="1">'BW Data'!#REF!</definedName>
    <definedName name="Bandwidth_Confidence_Factor_v711_Security_Off">'BW Data'!#REF!</definedName>
    <definedName name="Bandwidth_Confidence_Factor_v711_Security_On" localSheetId="1">'BW Data'!#REF!</definedName>
    <definedName name="Bandwidth_Confidence_Factor_v711_Security_On">'BW Data'!#REF!</definedName>
    <definedName name="Bandwidth_Confidence_Factor_v721_Security_Off" localSheetId="1">'BW Data'!#REF!</definedName>
    <definedName name="Bandwidth_Confidence_Factor_v721_Security_Off">'BW Data'!#REF!</definedName>
    <definedName name="Bandwidth_Confidence_Factor_v721_Security_On" localSheetId="1">'BW Data'!#REF!</definedName>
    <definedName name="Bandwidth_Confidence_Factor_v721_Security_On">'BW Data'!#REF!</definedName>
    <definedName name="Bandwidth_Confidence_Factor_v751_Security_Off" localSheetId="1">'BW Data'!#REF!</definedName>
    <definedName name="Bandwidth_Confidence_Factor_v751_Security_Off">'BW Data'!#REF!</definedName>
    <definedName name="Bandwidth_Confidence_Factor_v751_Security_On" localSheetId="1">'BW Data'!#REF!</definedName>
    <definedName name="Bandwidth_Confidence_Factor_v751_Security_On">'BW Data'!#REF!</definedName>
    <definedName name="Bandwidth_Confidence_Factor_v9">'BW Data'!$B$49</definedName>
    <definedName name="Bandwidth_Confidence_Factor_v91">'BW Data'!$D$49</definedName>
    <definedName name="BHCA" localSheetId="1">'Finesse 11.6'!$B$20</definedName>
    <definedName name="BHCA_v5x" localSheetId="1">#REF!</definedName>
    <definedName name="BHCA_v5x">#REF!</definedName>
    <definedName name="BHCA_v60" localSheetId="1">#REF!</definedName>
    <definedName name="BHCA_v60">#REF!</definedName>
    <definedName name="BHCA_v70" localSheetId="1">#REF!</definedName>
    <definedName name="BHCA_v70">#REF!</definedName>
    <definedName name="BHCA_v711" localSheetId="1">#REF!</definedName>
    <definedName name="BHCA_v711">#REF!</definedName>
    <definedName name="BHCA_v721" localSheetId="1">#REF!</definedName>
    <definedName name="BHCA_v721">#REF!</definedName>
    <definedName name="BHCA_v751" localSheetId="1">#REF!</definedName>
    <definedName name="BHCA_v751">#REF!</definedName>
    <definedName name="BHCA_v901" localSheetId="1">'Finesse 11.6'!$B$20</definedName>
    <definedName name="BHCA_v901">#REF!</definedName>
    <definedName name="BHTA">'Finesse 11.6'!$B$25</definedName>
    <definedName name="Bytes_Per_Call_Variable_Value">'BW Data'!$D$61</definedName>
    <definedName name="Calls_Per_Second" localSheetId="1">'Finesse 11.6'!$B$23</definedName>
    <definedName name="Calls_Per_Second_v5x" localSheetId="1">#REF!</definedName>
    <definedName name="Calls_Per_Second_v5x">#REF!</definedName>
    <definedName name="Calls_Per_Second_v60" localSheetId="1">#REF!</definedName>
    <definedName name="Calls_Per_Second_v60">#REF!</definedName>
    <definedName name="Calls_Per_Second_v70" localSheetId="1">#REF!</definedName>
    <definedName name="Calls_Per_Second_v70">#REF!</definedName>
    <definedName name="Calls_Per_Second_v711" localSheetId="1">#REF!</definedName>
    <definedName name="Calls_Per_Second_v711">#REF!</definedName>
    <definedName name="Calls_Per_Second_v721" localSheetId="1">#REF!</definedName>
    <definedName name="Calls_Per_Second_v721">#REF!</definedName>
    <definedName name="Calls_Per_Second_v751" localSheetId="1">#REF!</definedName>
    <definedName name="Calls_Per_Second_v751">#REF!</definedName>
    <definedName name="Calls_Per_Second_v901" localSheetId="1">'Finesse 11.6'!$B$23</definedName>
    <definedName name="Calls_Per_Second_v901">#REF!</definedName>
    <definedName name="kbps">8/1000</definedName>
    <definedName name="Max_Login_Time_All_Agents" localSheetId="1">'Finesse 11.6'!$B$18</definedName>
    <definedName name="Max_Login_Time_All_Agents">#REF!</definedName>
    <definedName name="Max_Login_Time_All_Users" localSheetId="1">'Finesse 11.6'!$B$18</definedName>
    <definedName name="Max_Login_Time_All_Users">#REF!</definedName>
    <definedName name="Maximum_Login_Time_for_all_users" localSheetId="1">'Finesse 11.6'!$B$18</definedName>
    <definedName name="Number_of_Agent_Statistics_v5x" localSheetId="1">#REF!</definedName>
    <definedName name="Number_of_Agent_Statistics_v5x">#REF!</definedName>
    <definedName name="Number_of_Agent_Statistics_v60" localSheetId="1">#REF!</definedName>
    <definedName name="Number_of_Agent_Statistics_v60">#REF!</definedName>
    <definedName name="Number_of_Agent_Statistics_v70" localSheetId="1">#REF!</definedName>
    <definedName name="Number_of_Agent_Statistics_v70">#REF!</definedName>
    <definedName name="Number_of_Agent_Statistics_v711" localSheetId="1">#REF!</definedName>
    <definedName name="Number_of_Agent_Statistics_v711">#REF!</definedName>
    <definedName name="Number_of_Agent_Statistics_v721" localSheetId="1">#REF!</definedName>
    <definedName name="Number_of_Agent_Statistics_v721">#REF!</definedName>
    <definedName name="Number_of_Agent_Statistics_v751" localSheetId="1">#REF!</definedName>
    <definedName name="Number_of_Agent_Statistics_v751">#REF!</definedName>
    <definedName name="Number_of_Agent_Statistics_v801" localSheetId="1">'Finesse 11.6'!$B$54</definedName>
    <definedName name="Number_of_Agent_Statistics_v801">#REF!</definedName>
    <definedName name="Number_of_Agents" localSheetId="1">'Finesse 11.6'!$B$9</definedName>
    <definedName name="Number_of_All_Agents_Monitors_v5x" localSheetId="1">#REF!</definedName>
    <definedName name="Number_of_All_Agents_Monitors_v5x">#REF!</definedName>
    <definedName name="Number_of_All_Agents_Monitors_v60" localSheetId="1">#REF!</definedName>
    <definedName name="Number_of_All_Agents_Monitors_v60">#REF!</definedName>
    <definedName name="Number_of_All_Agents_Monitors_v70" localSheetId="1">#REF!</definedName>
    <definedName name="Number_of_All_Agents_Monitors_v70">#REF!</definedName>
    <definedName name="Number_of_All_Agents_Monitors_v711" localSheetId="1">#REF!</definedName>
    <definedName name="Number_of_All_Agents_Monitors_v711">#REF!</definedName>
    <definedName name="Number_of_All_Agents_Monitors_v721" localSheetId="1">#REF!</definedName>
    <definedName name="Number_of_All_Agents_Monitors_v721">#REF!</definedName>
    <definedName name="Number_of_All_Agents_Monitors_v751" localSheetId="1">#REF!</definedName>
    <definedName name="Number_of_All_Agents_Monitors_v751">#REF!</definedName>
    <definedName name="Number_of_All_Agents_Monitors_v801" localSheetId="1">'Finesse 11.6'!$B$11</definedName>
    <definedName name="Number_of_All_Agents_Monitors_v801">#REF!</definedName>
    <definedName name="Number_of_Call_Variables">'BW Data'!$B$60</definedName>
    <definedName name="Number_of_Call_Variables_v5x" localSheetId="1">#REF!</definedName>
    <definedName name="Number_of_Call_Variables_v5x">#REF!</definedName>
    <definedName name="Number_of_Call_Variables_v60" localSheetId="1">#REF!</definedName>
    <definedName name="Number_of_Call_Variables_v60">#REF!</definedName>
    <definedName name="Number_of_Call_Variables_v70" localSheetId="1">#REF!</definedName>
    <definedName name="Number_of_Call_Variables_v70">#REF!</definedName>
    <definedName name="Number_of_Call_Variables_v711" localSheetId="1">#REF!</definedName>
    <definedName name="Number_of_Call_Variables_v711">#REF!</definedName>
    <definedName name="Number_of_Call_Variables_v721" localSheetId="1">#REF!</definedName>
    <definedName name="Number_of_Call_Variables_v721">#REF!</definedName>
    <definedName name="Number_of_Call_Variables_v751" localSheetId="1">#REF!</definedName>
    <definedName name="Number_of_Call_Variables_v751">#REF!</definedName>
    <definedName name="Number_of_Call_Variables_v901" localSheetId="1">'Finesse 11.6'!#REF!</definedName>
    <definedName name="Number_of_Call_Variables_v901">#REF!</definedName>
    <definedName name="Number_of_Call_Variables_v91">'BW Data'!$D$60</definedName>
    <definedName name="Number_of_Configured_Call_variables">'Finesse 11.6'!$B$62</definedName>
    <definedName name="Number_of_Configured_ECC_variables" localSheetId="1">'Finesse 11.6'!$B$58</definedName>
    <definedName name="Number_of_Configured_ECC_variables_v5x" localSheetId="1">#REF!</definedName>
    <definedName name="Number_of_Configured_ECC_variables_v5x">#REF!</definedName>
    <definedName name="Number_of_Configured_ECC_variables_v60" localSheetId="1">#REF!</definedName>
    <definedName name="Number_of_Configured_ECC_variables_v60">#REF!</definedName>
    <definedName name="Number_of_Configured_ECC_variables_v70" localSheetId="1">#REF!</definedName>
    <definedName name="Number_of_Configured_ECC_variables_v70">#REF!</definedName>
    <definedName name="Number_of_Configured_ECC_variables_v711" localSheetId="1">#REF!</definedName>
    <definedName name="Number_of_Configured_ECC_variables_v711">#REF!</definedName>
    <definedName name="Number_of_Configured_ECC_variables_v721" localSheetId="1">#REF!</definedName>
    <definedName name="Number_of_Configured_ECC_variables_v721">#REF!</definedName>
    <definedName name="Number_of_Configured_ECC_variables_v751" localSheetId="1">#REF!</definedName>
    <definedName name="Number_of_Configured_ECC_variables_v751">#REF!</definedName>
    <definedName name="Number_of_Configured_ECC_variables_v901" localSheetId="1">'Finesse 11.6'!$B$58</definedName>
    <definedName name="Number_of_Configured_ECC_variables_v901">#REF!</definedName>
    <definedName name="Number_of_mc_agents">'Finesse 11.6'!$B$16</definedName>
    <definedName name="Number_of_Multi_Channel_Agents">'Finesse 11.6'!$B$16</definedName>
    <definedName name="Number_of_Non_Voice_MRDs">'Finesse 11.6'!$B$17</definedName>
    <definedName name="Number_of_nonSSO_agents">'Finesse 11.6'!$B$13</definedName>
    <definedName name="Number_of_nonsso_mc_agents">'Finesse 11.6'!#REF!</definedName>
    <definedName name="Number_of_nonSSO_Multi_Channel_Agents">'Finesse 11.6'!#REF!</definedName>
    <definedName name="Number_of_nonSSO_supervisors">'Finesse 11.6'!$B$15</definedName>
    <definedName name="Number_of_nonvoice_mrds">'Finesse 11.6'!$B$17</definedName>
    <definedName name="Number_of_Skill_Group_Statistics_v5x" localSheetId="1">#REF!</definedName>
    <definedName name="Number_of_Skill_Group_Statistics_v5x">#REF!</definedName>
    <definedName name="Number_of_Skill_Group_Statistics_v60" localSheetId="1">#REF!</definedName>
    <definedName name="Number_of_Skill_Group_Statistics_v60">#REF!</definedName>
    <definedName name="Number_of_Skill_Group_Statistics_v70" localSheetId="1">#REF!</definedName>
    <definedName name="Number_of_Skill_Group_Statistics_v70">#REF!</definedName>
    <definedName name="Number_of_Skill_Group_Statistics_v711" localSheetId="1">#REF!</definedName>
    <definedName name="Number_of_Skill_Group_Statistics_v711">#REF!</definedName>
    <definedName name="Number_of_Skill_Group_Statistics_v721" localSheetId="1">#REF!</definedName>
    <definedName name="Number_of_Skill_Group_Statistics_v721">#REF!</definedName>
    <definedName name="Number_of_Skill_Group_Statistics_v751" localSheetId="1">#REF!</definedName>
    <definedName name="Number_of_Skill_Group_Statistics_v751">#REF!</definedName>
    <definedName name="Number_of_Skill_Group_Statistics_v801" localSheetId="1">'Finesse 11.6'!$B$51</definedName>
    <definedName name="Number_of_Skill_Group_Statistics_v801">#REF!</definedName>
    <definedName name="Number_of_Skill_Groups_per_Agent_v5x" localSheetId="1">#REF!</definedName>
    <definedName name="Number_of_Skill_Groups_per_Agent_v5x">#REF!</definedName>
    <definedName name="Number_of_Skill_Groups_per_Agent_v60" localSheetId="1">#REF!</definedName>
    <definedName name="Number_of_Skill_Groups_per_Agent_v60">#REF!</definedName>
    <definedName name="Number_of_Skill_Groups_per_Agent_v70" localSheetId="1">#REF!</definedName>
    <definedName name="Number_of_Skill_Groups_per_Agent_v70">#REF!</definedName>
    <definedName name="Number_of_Skill_Groups_per_Agent_v711" localSheetId="1">#REF!</definedName>
    <definedName name="Number_of_Skill_Groups_per_Agent_v711">#REF!</definedName>
    <definedName name="Number_of_Skill_Groups_per_Agent_v721" localSheetId="1">#REF!</definedName>
    <definedName name="Number_of_Skill_Groups_per_Agent_v721">#REF!</definedName>
    <definedName name="Number_of_Skill_Groups_per_Agent_v751" localSheetId="1">#REF!</definedName>
    <definedName name="Number_of_Skill_Groups_per_Agent_v751">#REF!</definedName>
    <definedName name="Number_of_Skill_Groups_per_Agent_v801" localSheetId="1">'Finesse 11.6'!$B$47</definedName>
    <definedName name="Number_of_Skill_Groups_per_Agent_v801">#REF!</definedName>
    <definedName name="Number_of_Skill_Groups_per_Supervisor_v5x" localSheetId="1">#REF!</definedName>
    <definedName name="Number_of_Skill_Groups_per_Supervisor_v5x">#REF!</definedName>
    <definedName name="Number_of_Skill_Groups_per_Supervisor_v60" localSheetId="1">#REF!</definedName>
    <definedName name="Number_of_Skill_Groups_per_Supervisor_v60">#REF!</definedName>
    <definedName name="Number_of_Skill_Groups_per_Supervisor_v70" localSheetId="1">#REF!</definedName>
    <definedName name="Number_of_Skill_Groups_per_Supervisor_v70">#REF!</definedName>
    <definedName name="Number_of_Skill_Groups_per_Supervisor_v711" localSheetId="1">#REF!</definedName>
    <definedName name="Number_of_Skill_Groups_per_Supervisor_v711">#REF!</definedName>
    <definedName name="Number_of_Skill_Groups_per_Supervisor_v721" localSheetId="1">#REF!</definedName>
    <definedName name="Number_of_Skill_Groups_per_Supervisor_v721">#REF!</definedName>
    <definedName name="Number_of_Skill_Groups_per_Supervisor_v751" localSheetId="1">#REF!</definedName>
    <definedName name="Number_of_Skill_Groups_per_Supervisor_v751">#REF!</definedName>
    <definedName name="Number_of_Skill_Groups_per_Supervisor_v901" localSheetId="1">'Finesse 11.6'!$B$49</definedName>
    <definedName name="Number_of_Skill_Groups_per_Supervisor_v901">#REF!</definedName>
    <definedName name="Number_of_Skill_Groups_PG">'Finesse 11.6'!$B$56</definedName>
    <definedName name="Number_of_SSO_agents">'Finesse 11.6'!$B$12</definedName>
    <definedName name="Number_of_sso_mc_agents">'Finesse 11.6'!#REF!</definedName>
    <definedName name="Number_of_SSO_Multi_Channel_Agents">'Finesse 11.6'!#REF!</definedName>
    <definedName name="Number_of_SSO_supervisors">'Finesse 11.6'!$B$14</definedName>
    <definedName name="Number_of_Supervisors" localSheetId="1">'Finesse 11.6'!$B$10</definedName>
    <definedName name="Number_of_Supervisors_v10">'Finesse 11.6'!$B$10</definedName>
    <definedName name="Number_of_Supervisors_v5x" localSheetId="1">#REF!</definedName>
    <definedName name="Number_of_Supervisors_v5x">#REF!</definedName>
    <definedName name="Number_of_Supervisors_v60" localSheetId="1">#REF!</definedName>
    <definedName name="Number_of_Supervisors_v60">#REF!</definedName>
    <definedName name="Number_of_Supervisors_v70" localSheetId="1">#REF!</definedName>
    <definedName name="Number_of_Supervisors_v70">#REF!</definedName>
    <definedName name="Number_of_Supervisors_v711" localSheetId="1">#REF!</definedName>
    <definedName name="Number_of_Supervisors_v711">#REF!</definedName>
    <definedName name="Number_of_Supervisors_v721" localSheetId="1">#REF!</definedName>
    <definedName name="Number_of_Supervisors_v721">#REF!</definedName>
    <definedName name="Number_of_Supervisors_v751" localSheetId="1">#REF!</definedName>
    <definedName name="Number_of_Supervisors_v751">#REF!</definedName>
    <definedName name="Number_of_Supervisors_v901" localSheetId="1">'Finesse 11.6'!$B$10</definedName>
    <definedName name="Number_of_Supervisors_v901">#REF!</definedName>
    <definedName name="Percentage_Calls_Silently_Monitored" localSheetId="1">'Finesse 11.6'!$B$37</definedName>
    <definedName name="Percentage_Calls_Silently_Monitored">#REF!</definedName>
    <definedName name="Percentage_of_BargedCalls">'Finesse 11.6'!$B$38</definedName>
    <definedName name="Percentage_of_Calls_that_are_silently_monitored" localSheetId="1">'Finesse 11.6'!$B$37</definedName>
    <definedName name="Percentage_of_Consultative_Conference_Calls" localSheetId="1">'Finesse 11.6'!$B$35</definedName>
    <definedName name="Percentage_of_Consultative_Conference_Calls_v5x" localSheetId="1">#REF!</definedName>
    <definedName name="Percentage_of_Consultative_Conference_Calls_v5x">#REF!</definedName>
    <definedName name="Percentage_of_Consultative_Conference_Calls_v60" localSheetId="1">#REF!</definedName>
    <definedName name="Percentage_of_Consultative_Conference_Calls_v60">#REF!</definedName>
    <definedName name="Percentage_of_Consultative_Conference_Calls_v70" localSheetId="1">#REF!</definedName>
    <definedName name="Percentage_of_Consultative_Conference_Calls_v70">#REF!</definedName>
    <definedName name="Percentage_of_Consultative_Conference_Calls_v711" localSheetId="1">#REF!</definedName>
    <definedName name="Percentage_of_Consultative_Conference_Calls_v711">#REF!</definedName>
    <definedName name="Percentage_of_Consultative_Conference_Calls_v721" localSheetId="1">#REF!</definedName>
    <definedName name="Percentage_of_Consultative_Conference_Calls_v721">#REF!</definedName>
    <definedName name="Percentage_of_Consultative_Conference_Calls_v751" localSheetId="1">#REF!</definedName>
    <definedName name="Percentage_of_Consultative_Conference_Calls_v751">#REF!</definedName>
    <definedName name="Percentage_of_Consultative_Conference_Calls_v901" localSheetId="1">'Finesse 11.6'!$B$35</definedName>
    <definedName name="Percentage_of_Consultative_Conference_Calls_v901">#REF!</definedName>
    <definedName name="Percentage_of_Consultative_Transfer_Calls" localSheetId="1">'Finesse 11.6'!$B$33</definedName>
    <definedName name="Percentage_of_Consultative_Transfer_Calls_v5x" localSheetId="1">#REF!</definedName>
    <definedName name="Percentage_of_Consultative_Transfer_Calls_v5x">#REF!</definedName>
    <definedName name="Percentage_of_Consultative_Transfer_Calls_v60" localSheetId="1">#REF!</definedName>
    <definedName name="Percentage_of_Consultative_Transfer_Calls_v60">#REF!</definedName>
    <definedName name="Percentage_of_Consultative_Transfer_Calls_v70" localSheetId="1">#REF!</definedName>
    <definedName name="Percentage_of_Consultative_Transfer_Calls_v70">#REF!</definedName>
    <definedName name="Percentage_of_Consultative_Transfer_Calls_v711" localSheetId="1">#REF!</definedName>
    <definedName name="Percentage_of_Consultative_Transfer_Calls_v711">#REF!</definedName>
    <definedName name="Percentage_of_Consultative_Transfer_Calls_v721" localSheetId="1">#REF!</definedName>
    <definedName name="Percentage_of_Consultative_Transfer_Calls_v721">#REF!</definedName>
    <definedName name="Percentage_of_Consultative_Transfer_Calls_v751" localSheetId="1">#REF!</definedName>
    <definedName name="Percentage_of_Consultative_Transfer_Calls_v751">#REF!</definedName>
    <definedName name="Percentage_of_Consultative_Transfer_Calls_v901" localSheetId="1">'Finesse 11.6'!$B$33</definedName>
    <definedName name="Percentage_of_Consultative_Transfer_Calls_v901">#REF!</definedName>
    <definedName name="Percentage_of_Incoming_Straight_Calls" localSheetId="1">'Finesse 11.6'!$B$30</definedName>
    <definedName name="Percentage_of_Incoming_Straight_Calls_v5x" localSheetId="1">#REF!</definedName>
    <definedName name="Percentage_of_Incoming_Straight_Calls_v5x">#REF!</definedName>
    <definedName name="Percentage_of_Incoming_Straight_Calls_v60" localSheetId="1">#REF!</definedName>
    <definedName name="Percentage_of_Incoming_Straight_Calls_v60">#REF!</definedName>
    <definedName name="Percentage_of_Incoming_Straight_Calls_v70" localSheetId="1">#REF!</definedName>
    <definedName name="Percentage_of_Incoming_Straight_Calls_v70">#REF!</definedName>
    <definedName name="Percentage_of_Incoming_Straight_Calls_v711" localSheetId="1">#REF!</definedName>
    <definedName name="Percentage_of_Incoming_Straight_Calls_v711">#REF!</definedName>
    <definedName name="Percentage_of_Incoming_Straight_Calls_v721" localSheetId="1">#REF!</definedName>
    <definedName name="Percentage_of_Incoming_Straight_Calls_v721">#REF!</definedName>
    <definedName name="Percentage_of_Incoming_Straight_Calls_v751" localSheetId="1">#REF!</definedName>
    <definedName name="Percentage_of_Incoming_Straight_Calls_v751">#REF!</definedName>
    <definedName name="Percentage_of_Incoming_Straight_Calls_v901" localSheetId="1">'Finesse 11.6'!$B$30</definedName>
    <definedName name="Percentage_of_Incoming_Straight_Calls_v901">#REF!</definedName>
    <definedName name="Percentage_of_Incoming_Straight_Tasks">'Finesse 11.6'!$B$41</definedName>
    <definedName name="Percentage_of_InterceptedCalls">'Finesse 11.6'!$B$39</definedName>
    <definedName name="Percentage_of_Interrupted_Tasks">'Finesse 11.6'!$B$43</definedName>
    <definedName name="Percentage_of_Outgoing_Straight_Calls" localSheetId="1">'Finesse 11.6'!$B$31</definedName>
    <definedName name="Percentage_of_Outgoing_Straight_Calls_v5x" localSheetId="1">#REF!</definedName>
    <definedName name="Percentage_of_Outgoing_Straight_Calls_v5x">#REF!</definedName>
    <definedName name="Percentage_of_Outgoing_Straight_Calls_v60" localSheetId="1">#REF!</definedName>
    <definedName name="Percentage_of_Outgoing_Straight_Calls_v60">#REF!</definedName>
    <definedName name="Percentage_of_Outgoing_Straight_Calls_v70" localSheetId="1">#REF!</definedName>
    <definedName name="Percentage_of_Outgoing_Straight_Calls_v70">#REF!</definedName>
    <definedName name="Percentage_of_Outgoing_Straight_Calls_v711" localSheetId="1">#REF!</definedName>
    <definedName name="Percentage_of_Outgoing_Straight_Calls_v711">#REF!</definedName>
    <definedName name="Percentage_of_Outgoing_Straight_Calls_v721" localSheetId="1">#REF!</definedName>
    <definedName name="Percentage_of_Outgoing_Straight_Calls_v721">#REF!</definedName>
    <definedName name="Percentage_of_Outgoing_Straight_Calls_v751" localSheetId="1">#REF!</definedName>
    <definedName name="Percentage_of_Outgoing_Straight_Calls_v751">#REF!</definedName>
    <definedName name="Percentage_of_Outgoing_Straight_Calls_v901" localSheetId="1">'Finesse 11.6'!$B$31</definedName>
    <definedName name="Percentage_of_Outgoing_Straight_Calls_v901">#REF!</definedName>
    <definedName name="Percentage_of_Paused_and_Resumed_Tasks">'Finesse 11.6'!$B$44</definedName>
    <definedName name="Percentage_of_Single_Step_Transfer_Calls_v5x" localSheetId="1">#REF!</definedName>
    <definedName name="Percentage_of_Single_Step_Transfer_Calls_v5x">#REF!</definedName>
    <definedName name="Percentage_of_Single_Step_Transfer_Calls_v60" localSheetId="1">#REF!</definedName>
    <definedName name="Percentage_of_Single_Step_Transfer_Calls_v60">#REF!</definedName>
    <definedName name="Percentage_of_Single_Step_Transfer_Calls_v70" localSheetId="1">#REF!</definedName>
    <definedName name="Percentage_of_Single_Step_Transfer_Calls_v70">#REF!</definedName>
    <definedName name="Percentage_of_Single_Step_Transfer_Calls_v711" localSheetId="1">#REF!</definedName>
    <definedName name="Percentage_of_Single_Step_Transfer_Calls_v711">#REF!</definedName>
    <definedName name="Percentage_of_Single_Step_Transfer_Calls_v721" localSheetId="1">#REF!</definedName>
    <definedName name="Percentage_of_Single_Step_Transfer_Calls_v721">#REF!</definedName>
    <definedName name="Percentage_of_Single_Step_Transfer_Calls_v751" localSheetId="1">#REF!</definedName>
    <definedName name="Percentage_of_Single_Step_Transfer_Calls_v751">#REF!</definedName>
    <definedName name="Percentage_of_Single_Step_Transfer_Calls_v801" localSheetId="1">'Finesse 11.6'!$B$32</definedName>
    <definedName name="Percentage_of_Single_Step_Transfer_Calls_v801">#REF!</definedName>
    <definedName name="Percentage_of_SingleStep_Transfer_Calls">'Finesse 11.6'!$B$34</definedName>
    <definedName name="Percentage_of_Transferred_Tasks">'Finesse 11.6'!$B$42</definedName>
    <definedName name="Skill_Group_Refresh_Rate">'BW Data'!$B$55</definedName>
    <definedName name="Skill_Group_Refresh_Rate_v91">'BW Data'!$D$55</definedName>
    <definedName name="Skill_Group_Update_Interval_v5x" localSheetId="1">#REF!</definedName>
    <definedName name="Skill_Group_Update_Interval_v5x">#REF!</definedName>
    <definedName name="Skill_Group_Update_Interval_v60" localSheetId="1">#REF!</definedName>
    <definedName name="Skill_Group_Update_Interval_v60">#REF!</definedName>
    <definedName name="Skill_Group_Update_Interval_v70" localSheetId="1">#REF!</definedName>
    <definedName name="Skill_Group_Update_Interval_v70">#REF!</definedName>
    <definedName name="Skill_Group_Update_Interval_v711" localSheetId="1">#REF!</definedName>
    <definedName name="Skill_Group_Update_Interval_v711">#REF!</definedName>
    <definedName name="Skill_Group_Update_Interval_v721" localSheetId="1">#REF!</definedName>
    <definedName name="Skill_Group_Update_Interval_v721">#REF!</definedName>
    <definedName name="Skill_Group_Update_Interval_v751" localSheetId="1">#REF!</definedName>
    <definedName name="Skill_Group_Update_Interval_v751">#REF!</definedName>
    <definedName name="Skill_Group_Update_Interval_v801" localSheetId="1">'Finesse 11.6'!$B$52</definedName>
    <definedName name="Skill_Group_Update_Interval_v801">#REF!</definedName>
    <definedName name="Sum_of_all_Call_Variable_Values" localSheetId="1">'Finesse 11.6'!$B$63</definedName>
    <definedName name="Sum_of_all_Call_Variable_Values_v5x" localSheetId="1">#REF!</definedName>
    <definedName name="Sum_of_all_Call_Variable_Values_v5x">#REF!</definedName>
    <definedName name="Sum_of_all_Call_Variable_Values_v60" localSheetId="1">#REF!</definedName>
    <definedName name="Sum_of_all_Call_Variable_Values_v60">#REF!</definedName>
    <definedName name="Sum_of_all_Call_Variable_Values_v70" localSheetId="1">#REF!</definedName>
    <definedName name="Sum_of_all_Call_Variable_Values_v70">#REF!</definedName>
    <definedName name="Sum_of_all_Call_Variable_Values_v711" localSheetId="1">#REF!</definedName>
    <definedName name="Sum_of_all_Call_Variable_Values_v711">#REF!</definedName>
    <definedName name="Sum_of_all_Call_Variable_Values_v721" localSheetId="1">#REF!</definedName>
    <definedName name="Sum_of_all_Call_Variable_Values_v721">#REF!</definedName>
    <definedName name="Sum_of_all_Call_Variable_Values_v751" localSheetId="1">#REF!</definedName>
    <definedName name="Sum_of_all_Call_Variable_Values_v751">#REF!</definedName>
    <definedName name="Sum_of_all_Call_Variable_Values_v901" localSheetId="1">'Finesse 11.6'!$B$63</definedName>
    <definedName name="Sum_of_all_Call_Variable_Values_v901">#REF!</definedName>
    <definedName name="Sum_of_all_ECC_Variable_Names" localSheetId="1">'Finesse 11.6'!$B$59</definedName>
    <definedName name="Sum_of_all_ECC_Variable_Names_v5x" localSheetId="1">#REF!</definedName>
    <definedName name="Sum_of_all_ECC_Variable_Names_v5x">#REF!</definedName>
    <definedName name="Sum_of_all_ECC_Variable_Names_v60" localSheetId="1">#REF!</definedName>
    <definedName name="Sum_of_all_ECC_Variable_Names_v60">#REF!</definedName>
    <definedName name="Sum_of_all_ECC_Variable_Names_v70" localSheetId="1">#REF!</definedName>
    <definedName name="Sum_of_all_ECC_Variable_Names_v70">#REF!</definedName>
    <definedName name="Sum_of_all_ECC_Variable_Names_v711" localSheetId="1">#REF!</definedName>
    <definedName name="Sum_of_all_ECC_Variable_Names_v711">#REF!</definedName>
    <definedName name="Sum_of_all_ECC_Variable_Names_v721" localSheetId="1">#REF!</definedName>
    <definedName name="Sum_of_all_ECC_Variable_Names_v721">#REF!</definedName>
    <definedName name="Sum_of_all_ECC_Variable_Names_v751" localSheetId="1">#REF!</definedName>
    <definedName name="Sum_of_all_ECC_Variable_Names_v751">#REF!</definedName>
    <definedName name="Sum_of_all_ECC_Variable_Names_v901" localSheetId="1">'Finesse 11.6'!$B$59</definedName>
    <definedName name="Sum_of_all_ECC_Variable_Names_v901">#REF!</definedName>
    <definedName name="Sum_of_all_ECC_Variable_Values" localSheetId="1">'Finesse 11.6'!$B$60</definedName>
    <definedName name="Sum_of_all_ECC_Variable_Values_v5x" localSheetId="1">#REF!</definedName>
    <definedName name="Sum_of_all_ECC_Variable_Values_v5x">#REF!</definedName>
    <definedName name="Sum_of_all_ECC_Variable_Values_v60" localSheetId="1">#REF!</definedName>
    <definedName name="Sum_of_all_ECC_Variable_Values_v60">#REF!</definedName>
    <definedName name="Sum_of_all_ECC_Variable_Values_v70" localSheetId="1">#REF!</definedName>
    <definedName name="Sum_of_all_ECC_Variable_Values_v70">#REF!</definedName>
    <definedName name="Sum_of_all_ECC_Variable_Values_v711" localSheetId="1">#REF!</definedName>
    <definedName name="Sum_of_all_ECC_Variable_Values_v711">#REF!</definedName>
    <definedName name="Sum_of_all_ECC_Variable_Values_v721" localSheetId="1">#REF!</definedName>
    <definedName name="Sum_of_all_ECC_Variable_Values_v721">#REF!</definedName>
    <definedName name="Sum_of_all_ECC_Variable_Values_v751" localSheetId="1">#REF!</definedName>
    <definedName name="Sum_of_all_ECC_Variable_Values_v751">#REF!</definedName>
    <definedName name="Sum_of_all_ECC_Variable_Values_v901" localSheetId="1">'Finesse 11.6'!$B$60</definedName>
    <definedName name="Sum_of_all_ECC_Variable_Values_v901">#REF!</definedName>
    <definedName name="Tasks_Per_Second">'Finesse 11.6'!$B$28</definedName>
    <definedName name="Total" localSheetId="1">'Finesse 11.6'!$B$36</definedName>
  </definedNames>
  <calcPr calcId="152511"/>
</workbook>
</file>

<file path=xl/calcChain.xml><?xml version="1.0" encoding="utf-8"?>
<calcChain xmlns="http://schemas.openxmlformats.org/spreadsheetml/2006/main">
  <c r="B81" i="17" l="1"/>
  <c r="B73" i="17"/>
  <c r="B75" i="17" s="1"/>
  <c r="B15" i="17"/>
  <c r="B69" i="17" s="1"/>
  <c r="B68" i="17"/>
  <c r="B13" i="17"/>
  <c r="B74" i="17" s="1"/>
  <c r="B76" i="17" s="1"/>
  <c r="B67" i="17"/>
  <c r="B22" i="17"/>
  <c r="B23" i="17"/>
  <c r="B124" i="17" s="1"/>
  <c r="B123" i="17"/>
  <c r="B125" i="17"/>
  <c r="B127" i="17"/>
  <c r="B129" i="17"/>
  <c r="B131" i="17"/>
  <c r="B133" i="17"/>
  <c r="B28" i="17"/>
  <c r="B135" i="17" s="1"/>
  <c r="B139" i="17"/>
  <c r="B87" i="17"/>
  <c r="B89" i="17"/>
  <c r="B90" i="17"/>
  <c r="B91" i="17"/>
  <c r="B92" i="17"/>
  <c r="B93" i="17"/>
  <c r="B94" i="17"/>
  <c r="B95" i="17"/>
  <c r="B96" i="17"/>
  <c r="B97" i="17"/>
  <c r="B98" i="17"/>
  <c r="B99" i="17"/>
  <c r="B101" i="17"/>
  <c r="B104" i="17"/>
  <c r="B82" i="17"/>
  <c r="B83" i="17"/>
  <c r="B84" i="17"/>
  <c r="B85" i="17"/>
  <c r="B45" i="17"/>
  <c r="B12" i="5"/>
  <c r="D11" i="5"/>
  <c r="B11" i="5"/>
  <c r="B10" i="5"/>
  <c r="D9" i="5"/>
  <c r="B9" i="5"/>
  <c r="B5" i="5"/>
  <c r="D5" i="5"/>
  <c r="B6" i="5"/>
  <c r="B7" i="5"/>
  <c r="D7" i="5"/>
  <c r="B8" i="5"/>
  <c r="B115" i="17"/>
  <c r="B114" i="17"/>
  <c r="B55" i="17"/>
  <c r="B118" i="17"/>
  <c r="B119" i="17"/>
  <c r="B117" i="17"/>
  <c r="B116" i="17"/>
  <c r="B100" i="17" l="1"/>
  <c r="B88" i="17"/>
  <c r="B137" i="17"/>
  <c r="B134" i="17"/>
  <c r="B130" i="17"/>
  <c r="B126" i="17"/>
  <c r="B121" i="17"/>
  <c r="B66" i="17"/>
  <c r="B70" i="17" s="1"/>
  <c r="B138" i="17"/>
  <c r="B103" i="17"/>
  <c r="B136" i="17"/>
  <c r="B71" i="17"/>
  <c r="B102" i="17"/>
  <c r="B132" i="17"/>
  <c r="B128" i="17"/>
  <c r="B106" i="17"/>
  <c r="B109" i="17" s="1"/>
  <c r="B105" i="17"/>
  <c r="B107" i="17" s="1"/>
  <c r="B141" i="17"/>
  <c r="B144" i="17" s="1"/>
  <c r="B140" i="17"/>
  <c r="B142" i="17" s="1"/>
  <c r="B143" i="17" l="1"/>
  <c r="B108" i="17"/>
  <c r="D139" i="17"/>
  <c r="D135" i="17"/>
  <c r="D101" i="17"/>
  <c r="D90" i="17"/>
  <c r="D84" i="17"/>
  <c r="D103" i="17"/>
  <c r="D138" i="17"/>
  <c r="D92" i="17"/>
  <c r="D81" i="17"/>
  <c r="D95" i="17"/>
  <c r="D94" i="17"/>
  <c r="D137" i="17"/>
  <c r="D91" i="17"/>
  <c r="D105" i="17"/>
  <c r="D83" i="17"/>
  <c r="D136" i="17"/>
  <c r="D102" i="17"/>
  <c r="D96" i="17"/>
  <c r="D88" i="17"/>
  <c r="D99" i="17"/>
  <c r="D85" i="17"/>
  <c r="D98" i="17"/>
  <c r="D97" i="17"/>
  <c r="D82" i="17"/>
  <c r="D89" i="17"/>
  <c r="D106" i="17"/>
  <c r="D104" i="17"/>
  <c r="D100" i="17"/>
  <c r="D87" i="17"/>
  <c r="D93" i="17"/>
  <c r="D118" i="17"/>
  <c r="D116" i="17"/>
  <c r="D117" i="17"/>
  <c r="D127" i="17"/>
  <c r="D123" i="17"/>
  <c r="D132" i="17"/>
  <c r="D128" i="17"/>
  <c r="D141" i="17"/>
  <c r="D130" i="17"/>
  <c r="D119" i="17"/>
  <c r="D115" i="17"/>
  <c r="D131" i="17"/>
  <c r="D129" i="17"/>
  <c r="D122" i="17"/>
  <c r="D133" i="17"/>
  <c r="D126" i="17"/>
  <c r="D125" i="17"/>
  <c r="D124" i="17"/>
  <c r="D134" i="17"/>
  <c r="D114" i="17"/>
  <c r="D121" i="17"/>
  <c r="D140" i="17"/>
  <c r="D142" i="17" l="1"/>
  <c r="D107" i="17"/>
</calcChain>
</file>

<file path=xl/sharedStrings.xml><?xml version="1.0" encoding="utf-8"?>
<sst xmlns="http://schemas.openxmlformats.org/spreadsheetml/2006/main" count="460" uniqueCount="229">
  <si>
    <t>Message Header + TCP Overhead</t>
  </si>
  <si>
    <t>Call Center Information</t>
  </si>
  <si>
    <t>Percentage of Incoming Straight Calls</t>
  </si>
  <si>
    <t>Percentage of Outgoing Straight Calls</t>
  </si>
  <si>
    <t>Percentage of Consultative Transfer Calls</t>
  </si>
  <si>
    <t>Percentage of Consultative Conference Calls</t>
  </si>
  <si>
    <t>Total</t>
  </si>
  <si>
    <t>kbps</t>
  </si>
  <si>
    <t>skill group(s)</t>
  </si>
  <si>
    <t>Comments</t>
  </si>
  <si>
    <t>Value</t>
  </si>
  <si>
    <t>Units</t>
  </si>
  <si>
    <t>variable(s)</t>
  </si>
  <si>
    <t>char(s)</t>
  </si>
  <si>
    <t>Call Scenarios</t>
  </si>
  <si>
    <t>Incoming Straight Call - All Messages</t>
  </si>
  <si>
    <t>Outgoing Straight Call - All Messages</t>
  </si>
  <si>
    <t>Consultative Transfer - All Messages</t>
  </si>
  <si>
    <t>Consultative Conference - All Messages</t>
  </si>
  <si>
    <t>Number of Configured ECC variables</t>
  </si>
  <si>
    <t>Call Profile</t>
  </si>
  <si>
    <t>ECC Variables</t>
  </si>
  <si>
    <t>Call Variables</t>
  </si>
  <si>
    <t>agent(s)</t>
  </si>
  <si>
    <t>second(s)</t>
  </si>
  <si>
    <t>stat(s)</t>
  </si>
  <si>
    <t>Consultative Transfer Bandwidth</t>
  </si>
  <si>
    <t>Consultative Conference Bandwidth</t>
  </si>
  <si>
    <t>Straight Call Bandwidth (Incoming &amp; Outgoing)</t>
  </si>
  <si>
    <t>6 default; 91 maximum</t>
  </si>
  <si>
    <t>Number of Supervisors</t>
  </si>
  <si>
    <t>supervisor(s)</t>
  </si>
  <si>
    <t>session(s)</t>
  </si>
  <si>
    <t>2 maximum supported</t>
  </si>
  <si>
    <t>Typically 10% of desktops</t>
  </si>
  <si>
    <t>percent</t>
  </si>
  <si>
    <t>85% Straight Calls Typical</t>
  </si>
  <si>
    <t>10% Transfer Calls Typical</t>
  </si>
  <si>
    <t>5% Conference Calls Typical</t>
  </si>
  <si>
    <t>Call Distribution</t>
  </si>
  <si>
    <t>Adjust Call Distribution to equal 100%</t>
  </si>
  <si>
    <t>10 second default</t>
  </si>
  <si>
    <t>Additional Bytes / Variable</t>
  </si>
  <si>
    <t>Average Call Duration</t>
  </si>
  <si>
    <t>Calls/Second</t>
  </si>
  <si>
    <t>Default is per-call; If agent stats are updated on a per-call basis, make sure this number is equal to the Call Profile "Average Call Duration" above.</t>
  </si>
  <si>
    <t>Customer Site Information</t>
  </si>
  <si>
    <t>0 Default</t>
  </si>
  <si>
    <t>Sum of all ECC Variable Names</t>
  </si>
  <si>
    <t>5 Default</t>
  </si>
  <si>
    <t>Note: Only make changes to fields in yellow.</t>
  </si>
  <si>
    <t>Count characters of all configured ECC variable names</t>
  </si>
  <si>
    <t>Equal to ((Number of Agents) / (Average Call Duration))</t>
  </si>
  <si>
    <t>Maximum length is 2k chars</t>
  </si>
  <si>
    <t>BHCA</t>
  </si>
  <si>
    <t>calls/hour</t>
  </si>
  <si>
    <t>Agent Call Wrap-Up Time</t>
  </si>
  <si>
    <t>Calls Per Second</t>
  </si>
  <si>
    <t>Sum of all ECC Variable Values</t>
  </si>
  <si>
    <t>Sum of all Call Variable Values</t>
  </si>
  <si>
    <t xml:space="preserve">Bandwidth Requirement </t>
  </si>
  <si>
    <t>Bandwidth Confidence Factor</t>
  </si>
  <si>
    <t>Agent Bandwidth Total</t>
  </si>
  <si>
    <t>Supervisor Bandwidth Total</t>
  </si>
  <si>
    <t>Total Bandwidth</t>
  </si>
  <si>
    <t>Notes:</t>
  </si>
  <si>
    <t>Directions:</t>
  </si>
  <si>
    <t>17 default; 166 maximum</t>
  </si>
  <si>
    <t>Typically 30 calls per hour per agent</t>
  </si>
  <si>
    <t>Average number of Skill Groups per Supervisor</t>
  </si>
  <si>
    <t>0 &lt;= "Sum of all Call Variable Values" &lt;= 400
Maximum length is 40 chars per variable</t>
  </si>
  <si>
    <t>2000 maximum</t>
  </si>
  <si>
    <t>(N/A for Finesse) Number of All Agents Monitors</t>
  </si>
  <si>
    <t>(N/A for Finesse) Percentage of Single Step Transfer Calls</t>
  </si>
  <si>
    <t>Finesse Bandwidth Calculator</t>
  </si>
  <si>
    <t>CCE Configuration Information</t>
  </si>
  <si>
    <t xml:space="preserve">(N/A for Finesse) Number of Skill Group Statistics </t>
  </si>
  <si>
    <t>(N/A for Finesse) Skill Group Update Interval</t>
  </si>
  <si>
    <t>(N/A for Finesse) Number of Agent Statistics</t>
  </si>
  <si>
    <t>(N/A for Finesse) Agent Statistics Update Interval</t>
  </si>
  <si>
    <t>(N/A for Finesse) Skill Groups</t>
  </si>
  <si>
    <t xml:space="preserve"> (N/A for Finesse) Agent Statistics</t>
  </si>
  <si>
    <t xml:space="preserve">Bandwidth Requirements </t>
  </si>
  <si>
    <t>(N/A for Finesse)  Single Step Transfer Bandwidth</t>
  </si>
  <si>
    <t>Average number of agents per Team</t>
  </si>
  <si>
    <t>Supervisor Queue Gadget Bandwidth</t>
  </si>
  <si>
    <t>(N/A for Finesse) Average number of Skill Groups per Agent</t>
  </si>
  <si>
    <t>Team Performance Gadget Bandwidth</t>
  </si>
  <si>
    <t>Bytes per Call for Supervisor Silent Monitoring</t>
  </si>
  <si>
    <t>Bytes per Agent State Change in Team Performance Gadget</t>
  </si>
  <si>
    <t>Queue Gadget</t>
  </si>
  <si>
    <t>Average Bytes / Queue</t>
  </si>
  <si>
    <t>Additional Overhead for Wrap-Up - All Message</t>
  </si>
  <si>
    <t>Wrap-Up Bandwidth</t>
  </si>
  <si>
    <t>Avg Bandwidth Per Agent</t>
  </si>
  <si>
    <t>Avg Bandwidth Per Supervisor</t>
  </si>
  <si>
    <t>Avg_Agent_State_Changes_Per_Call_NoWrap</t>
  </si>
  <si>
    <t>Avg_Agent_State_Changes_Per_Call_Wrap</t>
  </si>
  <si>
    <t>Skill_Group_Refresh_Rate</t>
  </si>
  <si>
    <t>Key</t>
  </si>
  <si>
    <t>Avg_Number_Dialog_Events_Per_IncomingCall</t>
  </si>
  <si>
    <t>Avg_Number_Dialog_Events_Per_ConfCall</t>
  </si>
  <si>
    <t>Avg_Number_Dialog_Events_Per_OutCall</t>
  </si>
  <si>
    <t>Avg_Number_Dialog_Events_Per_XferCall</t>
  </si>
  <si>
    <t>Number_of_Call_Variables</t>
  </si>
  <si>
    <t>Call Variable Incoming Calls Bandwidth</t>
  </si>
  <si>
    <t>Call Variable Outgoing Calls Bandwidth</t>
  </si>
  <si>
    <t>Call Variable Conference Calls Bandwidth</t>
  </si>
  <si>
    <t>Call Variable Transfer Calls Bandwidth</t>
  </si>
  <si>
    <t>ECC Variable Incoming Calls Bandwidth</t>
  </si>
  <si>
    <t>ECC Variable Conference Calls Bandwidth</t>
  </si>
  <si>
    <t>ECC Variable Transfer Calls Bandwidth</t>
  </si>
  <si>
    <t>Percentage of Calls that are silently monitored</t>
  </si>
  <si>
    <t>Silent Monitor Bandwidth</t>
  </si>
  <si>
    <t>Supervisor</t>
  </si>
  <si>
    <t>Agent</t>
  </si>
  <si>
    <t>ECC Variable Outgoing Calls Bandwidth</t>
  </si>
  <si>
    <t>0 Default, 50 skill groups maximum</t>
  </si>
  <si>
    <t>0 Default, 50 agents per team maximum</t>
  </si>
  <si>
    <t>Login</t>
  </si>
  <si>
    <t>minute(s)</t>
  </si>
  <si>
    <t>Maximum Login Time for all users</t>
  </si>
  <si>
    <t>1. Enter the appropriate values in the yellow boxes to characterize the Call Center to be evaluated.</t>
  </si>
  <si>
    <t>2. Do not modify any cells that are green or grey.</t>
  </si>
  <si>
    <t>3. Total Bandwidth, Agent Bandwidth and Supervisor Bandwidth requirements are calculated and presented at the bottom of the spreadsheet.</t>
  </si>
  <si>
    <t>1. The calculator is based on empirical measurements of network traffic during load testing as well as simple functional tests.  In some cases, the bandwidth requirements do not always increase linearly when the contact center is scaled.  As a result, the best approximation of bandwidth has been used.</t>
  </si>
  <si>
    <t>2. The "BW Data" sheet should not be modified.  It contains the empirical data collected to model the bandwidth utilization.</t>
  </si>
  <si>
    <t>5. The bandwidth calculations in this spreadsheet are for control messaging between Finesse desktop and server, and do not include the RTP voice stream bandwidth, nor Silent Monitoring RTP stream bandwidth.</t>
  </si>
  <si>
    <t>Bytes</t>
  </si>
  <si>
    <t>Message Overhead</t>
  </si>
  <si>
    <r>
      <t>DISCLAIMER</t>
    </r>
    <r>
      <rPr>
        <sz val="10"/>
        <color indexed="10"/>
        <rFont val="Arial"/>
        <family val="2"/>
      </rPr>
      <t>: This calculator is intended to provide a general understanding of Finesse bandwidth requirements and is provided as-is.  
Cisco makes no warrantee about the accuracy of the results.  This calculator is based on data collected from the Out-of-the-box Finesse Desktop.  It does not include the bandwidth required for 3rd party gadgets or any voice traffic or bandwidth associated with recording and monitoring.  These formulas do not include latency or jitter</t>
    </r>
  </si>
  <si>
    <t>9.0
Client to Server</t>
  </si>
  <si>
    <t>9.1
Client to Server</t>
  </si>
  <si>
    <t>9.1
Server to CTI</t>
  </si>
  <si>
    <t>Single Step Transfer</t>
  </si>
  <si>
    <t>Barge</t>
  </si>
  <si>
    <t>Intercept</t>
  </si>
  <si>
    <t>Post-Login Client to Server  Bandwidth</t>
  </si>
  <si>
    <t>Finesse Server to CTI Server  Bandwidth</t>
  </si>
  <si>
    <t>Supervisor Login</t>
  </si>
  <si>
    <t>Barge Bandwidth</t>
  </si>
  <si>
    <t>Intercept Bandwidth</t>
  </si>
  <si>
    <t>N/A</t>
  </si>
  <si>
    <t>0 Default.  Max of 10.</t>
  </si>
  <si>
    <t>Number of Configured Call Variables</t>
  </si>
  <si>
    <t>Percentage of Calls that are barged in on</t>
  </si>
  <si>
    <t>Percentage of Calls that are intercepted</t>
  </si>
  <si>
    <t>Percentage of Single-Step Transfer Calls</t>
  </si>
  <si>
    <t>Bytes_Per_Call_Variable_Value</t>
  </si>
  <si>
    <t>This will be less than or equal to the number of silent monitor calls</t>
  </si>
  <si>
    <t>This will be less than or equal to the number of Barged Calls</t>
  </si>
  <si>
    <t>Number of configured skill groups on the PG</t>
  </si>
  <si>
    <t>Single Step Transfer Bandwidth</t>
  </si>
  <si>
    <t xml:space="preserve">3. The calculator is based on per Finesse server per site. If one Finesse Server has more than one remote site, then the calculator should be run once for each remote site to be evaluated. </t>
  </si>
  <si>
    <t xml:space="preserve">4. For distributed deployments (i.e. not all agents located at the same physical site), the Finesse Bandwidth Calculator should be run once for each site to calculate the bandwidth required between each site and it's respective Finesse server.  </t>
  </si>
  <si>
    <t>Context Service</t>
  </si>
  <si>
    <t>CS gadget authentication requests</t>
  </si>
  <si>
    <t xml:space="preserve">POD Update </t>
  </si>
  <si>
    <t>Agent Voice Login - No Caching - without SSO</t>
  </si>
  <si>
    <t>Agent Voice Login - Caching - without SSO</t>
  </si>
  <si>
    <t>Supervisor Voice Login - No Caching - without SSO</t>
  </si>
  <si>
    <t>Supervisor Voice Login - Caching - without SSO</t>
  </si>
  <si>
    <t>Agent Voice Login - No Caching - with SSO</t>
  </si>
  <si>
    <t>Agent Voice Login - Caching - with SSO</t>
  </si>
  <si>
    <t>Supervisor Voice Login - No Caching - with SSO</t>
  </si>
  <si>
    <t>Supervisor Voice Login - Caching - with SSO</t>
  </si>
  <si>
    <t>Task Scenarios</t>
  </si>
  <si>
    <t>Incoming Task - All Messages</t>
  </si>
  <si>
    <t>Pause Task - All Messages</t>
  </si>
  <si>
    <t>Resume Task - All Messages</t>
  </si>
  <si>
    <t>Avg_Agent_State_Changes_Per_Task_NoWrap</t>
  </si>
  <si>
    <t>Avg_Agent_State_Changes_Per_Task_Wrap</t>
  </si>
  <si>
    <t>Number of multi-channel agents</t>
  </si>
  <si>
    <t>Average number of non-voice MRDs per multi-channel agent</t>
  </si>
  <si>
    <t>Non-voice MRDs</t>
  </si>
  <si>
    <t>Task Profile</t>
  </si>
  <si>
    <t>Busy Hour Task Attempts</t>
  </si>
  <si>
    <t>tasks/hour</t>
  </si>
  <si>
    <t>Typically 5 tasks per hour per agent</t>
  </si>
  <si>
    <t>Agent Task Wrap-Up Time</t>
  </si>
  <si>
    <t>Average Task Duration</t>
  </si>
  <si>
    <t>Tasks Per Second</t>
  </si>
  <si>
    <t>Equal to ((Number of Agents) / (Average Task Duration))</t>
  </si>
  <si>
    <t>Task Distribution</t>
  </si>
  <si>
    <t>Percentage of Incoming Straight Tasks</t>
  </si>
  <si>
    <t>Percentage of Transferred Tasks</t>
  </si>
  <si>
    <t>85% Straight Tasks Typical, 10% Transferred Tasks</t>
  </si>
  <si>
    <t>Adjust Task Distribution to equal 100%</t>
  </si>
  <si>
    <t>Percentage of Paused and ResumedTasks</t>
  </si>
  <si>
    <t>Agent Voice Login Bandwidth - No Caching</t>
  </si>
  <si>
    <t>Agent Voice Login Bandwidth - Caching</t>
  </si>
  <si>
    <t>Supervisor Voice Login Bandwidth - No Caching</t>
  </si>
  <si>
    <t>Supervisor Voice Login Bandwidth - Caching</t>
  </si>
  <si>
    <t>Total Voice Bandwidth - No Caching</t>
  </si>
  <si>
    <t>Total Voice Bandwidth - Caching</t>
  </si>
  <si>
    <t>Agent Non-Voice Login Bandwidth - No Caching</t>
  </si>
  <si>
    <t>Agent Non-Voice Login Bandwidth - Caching</t>
  </si>
  <si>
    <t>Total Number of Agents</t>
  </si>
  <si>
    <t>Number of SSO enabled agents</t>
  </si>
  <si>
    <t>Number of SSO enabled supervisors</t>
  </si>
  <si>
    <t>Numner of non-SSO agents</t>
  </si>
  <si>
    <t>Number of non-SSO supervisors</t>
  </si>
  <si>
    <t>agents(s)</t>
  </si>
  <si>
    <t>Total Non-Voice Bandwidth - No Caching</t>
  </si>
  <si>
    <t>Total Non-Voice Bandwidth - Caching</t>
  </si>
  <si>
    <t>Client to Finesse Server Voice Login Bandwidth</t>
  </si>
  <si>
    <t>Client to Finesse Server Non-Voice Login Bandwidth</t>
  </si>
  <si>
    <t>Percentage of Interrupted Tasks</t>
  </si>
  <si>
    <t>Straight Task Bandwidth</t>
  </si>
  <si>
    <t>Single Step Task Transfer Bandwidth</t>
  </si>
  <si>
    <t>Interrupted Task Bandwidth</t>
  </si>
  <si>
    <t>Paused and Resumed Task Bandwidth</t>
  </si>
  <si>
    <t>Transfer Task - All Messages</t>
  </si>
  <si>
    <t>Interrupted Task - All Messages</t>
  </si>
  <si>
    <t>Task Wrap-Up Bandwidth</t>
  </si>
  <si>
    <t xml:space="preserve">Agent Non-voice (1 MRD) Login - No Caching </t>
  </si>
  <si>
    <t>Agent Non-voice (1 MRD) Login - Caching</t>
  </si>
  <si>
    <t>Supervisor Non-voice (1 MRD) Login - No Caching</t>
  </si>
  <si>
    <t>Supervisor Non-Voice (1 MRD) Login - Caching</t>
  </si>
  <si>
    <t>11.6
Client to Server</t>
  </si>
  <si>
    <t>11.6
Server to CTI</t>
  </si>
  <si>
    <t>Live data  Bandwidth Factor(Client-Finesse Server)</t>
  </si>
  <si>
    <t>Queue Stat Bandwidth Factor(Finesse Server-CTI)</t>
  </si>
  <si>
    <t>11.6 Finesse IPPA</t>
  </si>
  <si>
    <t>The total amount of time taken for all agents to log into the Finesse server including Finesse failover conditions.  If the deployment includes 2000 agents and this value is set to 5 minutes, all 2000 agents should be able to point their browser to Finesse and complete the login sequence within 5 minutes.</t>
  </si>
  <si>
    <t>Finesse Bandwidth Measurements 11.6(1)</t>
  </si>
  <si>
    <t>Release 11.6(1)</t>
  </si>
  <si>
    <t>Finesse 11.6(1)</t>
  </si>
  <si>
    <t>Includes Live Data Call History and State History Gadgets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</si>
</sst>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13" x14ac:knownFonts="1">
    <font>
      <sz val="10"/>
      <name val="Arial"/>
    </font>
    <font>
      <b/>
      <sz val="10"/>
      <name val="Arial"/>
      <family val="2"/>
    </font>
    <font>
      <sz val="10"/>
      <name val="Arial"/>
      <family val="2"/>
    </font>
    <font>
      <sz val="8"/>
      <name val="Arial"/>
      <family val="2"/>
    </font>
    <font>
      <b/>
      <sz val="12"/>
      <name val="Arial"/>
      <family val="2"/>
    </font>
    <font>
      <sz val="12"/>
      <name val="Arial"/>
      <family val="2"/>
    </font>
    <font>
      <b/>
      <sz val="10"/>
      <color indexed="10"/>
      <name val="Arial"/>
      <family val="2"/>
    </font>
    <font>
      <sz val="10"/>
      <color indexed="10"/>
      <name val="Arial"/>
      <family val="2"/>
    </font>
    <font>
      <sz val="10"/>
      <color rgb="FFFF0000"/>
      <name val="Arial"/>
      <family val="2"/>
    </font>
    <font>
      <b/>
      <sz val="10"/>
      <color rgb="FFFF0000"/>
      <name val="Arial"/>
      <family val="2"/>
    </font>
    <font>
      <sz val="10"/>
      <name val="Arial"/>
      <family val="2"/>
    </font>
    <font>
      <b/>
      <sz val="14"/>
      <color theme="0"/>
      <name val="Arial"/>
      <family val="2"/>
    </font>
    <font>
      <sz val="10"/>
      <color theme="1"/>
      <name val="Arial"/>
      <family val="2"/>
    </font>
  </fonts>
  <fills count="8">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diagonal/>
    </border>
    <border>
      <left style="medium">
        <color auto="1"/>
      </left>
      <right style="thin">
        <color auto="1"/>
      </right>
      <top style="thin">
        <color auto="1"/>
      </top>
      <bottom/>
      <diagonal/>
    </border>
    <border>
      <left style="thin">
        <color auto="1"/>
      </left>
      <right/>
      <top/>
      <bottom/>
      <diagonal/>
    </border>
    <border>
      <left/>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bottom/>
      <diagonal/>
    </border>
    <border>
      <left style="thin">
        <color auto="1"/>
      </left>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style="thin">
        <color auto="1"/>
      </bottom>
      <diagonal/>
    </border>
  </borders>
  <cellStyleXfs count="3">
    <xf numFmtId="0" fontId="0" fillId="0" borderId="0"/>
    <xf numFmtId="43" fontId="10" fillId="0" borderId="0" applyFont="0" applyFill="0" applyBorder="0" applyAlignment="0" applyProtection="0"/>
    <xf numFmtId="43" fontId="2" fillId="0" borderId="0" applyFont="0" applyFill="0" applyBorder="0" applyAlignment="0" applyProtection="0"/>
  </cellStyleXfs>
  <cellXfs count="276">
    <xf numFmtId="0" fontId="0" fillId="0" borderId="0" xfId="0"/>
    <xf numFmtId="0" fontId="1" fillId="0" borderId="0" xfId="0" applyFont="1"/>
    <xf numFmtId="0" fontId="0" fillId="0" borderId="0" xfId="0" applyAlignment="1">
      <alignment horizontal="left" indent="1"/>
    </xf>
    <xf numFmtId="0" fontId="0" fillId="0" borderId="0" xfId="0" applyAlignment="1">
      <alignment horizontal="center"/>
    </xf>
    <xf numFmtId="0" fontId="2" fillId="0" borderId="0" xfId="0" applyFont="1"/>
    <xf numFmtId="0" fontId="0" fillId="2" borderId="1" xfId="0" applyFill="1" applyBorder="1" applyAlignment="1">
      <alignment horizontal="center"/>
    </xf>
    <xf numFmtId="0" fontId="0" fillId="2" borderId="1" xfId="0" applyFill="1" applyBorder="1"/>
    <xf numFmtId="0" fontId="0" fillId="0" borderId="0" xfId="0" applyAlignment="1">
      <alignment wrapText="1"/>
    </xf>
    <xf numFmtId="164" fontId="0" fillId="2" borderId="1" xfId="0" applyNumberFormat="1" applyFill="1" applyBorder="1" applyAlignment="1">
      <alignment horizontal="center"/>
    </xf>
    <xf numFmtId="0" fontId="0" fillId="2" borderId="1" xfId="0" applyFill="1" applyBorder="1" applyAlignment="1">
      <alignment vertical="top"/>
    </xf>
    <xf numFmtId="0" fontId="0" fillId="2" borderId="2" xfId="0" applyFill="1" applyBorder="1" applyAlignment="1">
      <alignment vertical="top"/>
    </xf>
    <xf numFmtId="0" fontId="0" fillId="2" borderId="3" xfId="0" applyFill="1" applyBorder="1" applyAlignment="1">
      <alignment vertical="top" wrapText="1"/>
    </xf>
    <xf numFmtId="0" fontId="4" fillId="3" borderId="4" xfId="0" applyFont="1" applyFill="1" applyBorder="1" applyAlignment="1">
      <alignment horizontal="left" vertical="top"/>
    </xf>
    <xf numFmtId="0" fontId="1" fillId="3" borderId="5" xfId="0" applyFont="1" applyFill="1" applyBorder="1" applyAlignment="1">
      <alignment horizontal="center" vertical="top"/>
    </xf>
    <xf numFmtId="0" fontId="1" fillId="3" borderId="6" xfId="0" applyFont="1" applyFill="1" applyBorder="1" applyAlignment="1">
      <alignment vertical="top" wrapText="1"/>
    </xf>
    <xf numFmtId="0" fontId="0" fillId="2" borderId="7" xfId="0" applyFill="1" applyBorder="1" applyAlignment="1">
      <alignment vertical="top" wrapText="1"/>
    </xf>
    <xf numFmtId="0" fontId="2" fillId="2" borderId="8" xfId="0" applyFont="1" applyFill="1" applyBorder="1" applyAlignment="1">
      <alignment horizontal="left" vertical="top" indent="1"/>
    </xf>
    <xf numFmtId="0" fontId="5" fillId="0" borderId="0" xfId="0" applyFont="1"/>
    <xf numFmtId="0" fontId="2" fillId="2" borderId="1" xfId="0" applyFont="1" applyFill="1" applyBorder="1" applyAlignment="1">
      <alignment vertical="top"/>
    </xf>
    <xf numFmtId="0" fontId="2" fillId="2" borderId="2" xfId="0" applyFont="1" applyFill="1" applyBorder="1" applyAlignment="1">
      <alignment vertical="top"/>
    </xf>
    <xf numFmtId="0" fontId="0" fillId="2" borderId="11" xfId="0" applyFill="1" applyBorder="1" applyAlignment="1">
      <alignment vertical="top"/>
    </xf>
    <xf numFmtId="0" fontId="0" fillId="2" borderId="14" xfId="0" applyFill="1" applyBorder="1" applyAlignment="1">
      <alignment vertical="top"/>
    </xf>
    <xf numFmtId="0" fontId="0" fillId="2" borderId="15" xfId="0" applyFill="1" applyBorder="1" applyAlignment="1">
      <alignment vertical="top" wrapText="1"/>
    </xf>
    <xf numFmtId="164" fontId="0" fillId="2" borderId="14" xfId="0" applyNumberFormat="1" applyFill="1" applyBorder="1" applyAlignment="1">
      <alignment horizontal="center"/>
    </xf>
    <xf numFmtId="0" fontId="0" fillId="2" borderId="14" xfId="0" applyFill="1" applyBorder="1"/>
    <xf numFmtId="9" fontId="0" fillId="2" borderId="15" xfId="0" applyNumberFormat="1" applyFill="1" applyBorder="1" applyAlignment="1">
      <alignment horizontal="center" wrapText="1"/>
    </xf>
    <xf numFmtId="9" fontId="0" fillId="3" borderId="6" xfId="0" applyNumberFormat="1" applyFill="1" applyBorder="1" applyAlignment="1">
      <alignment horizontal="center" wrapText="1"/>
    </xf>
    <xf numFmtId="49" fontId="0" fillId="2" borderId="3" xfId="0" applyNumberFormat="1" applyFill="1" applyBorder="1" applyAlignment="1">
      <alignment vertical="top" wrapText="1"/>
    </xf>
    <xf numFmtId="0" fontId="0" fillId="2" borderId="20" xfId="0" applyFill="1" applyBorder="1" applyAlignment="1">
      <alignment vertical="top"/>
    </xf>
    <xf numFmtId="0" fontId="0" fillId="2" borderId="14" xfId="0" applyFill="1" applyBorder="1" applyAlignment="1">
      <alignment horizontal="center" vertical="top"/>
    </xf>
    <xf numFmtId="0" fontId="2" fillId="2" borderId="14" xfId="0" applyFont="1" applyFill="1" applyBorder="1" applyAlignment="1">
      <alignment horizontal="left" vertical="top"/>
    </xf>
    <xf numFmtId="0" fontId="2" fillId="2" borderId="15" xfId="0" applyFont="1" applyFill="1" applyBorder="1" applyAlignment="1">
      <alignment horizontal="left" vertical="top"/>
    </xf>
    <xf numFmtId="164" fontId="0" fillId="3" borderId="5" xfId="0" applyNumberFormat="1" applyFill="1" applyBorder="1" applyAlignment="1">
      <alignment horizontal="center"/>
    </xf>
    <xf numFmtId="0" fontId="0" fillId="3" borderId="5" xfId="0" applyFill="1" applyBorder="1"/>
    <xf numFmtId="0" fontId="0" fillId="0" borderId="23" xfId="0" applyFill="1" applyBorder="1"/>
    <xf numFmtId="2" fontId="0" fillId="2" borderId="2" xfId="0" applyNumberFormat="1" applyFill="1" applyBorder="1" applyAlignment="1">
      <alignment horizontal="center" vertical="top"/>
    </xf>
    <xf numFmtId="0" fontId="1"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164" fontId="4" fillId="3" borderId="5" xfId="0" applyNumberFormat="1" applyFont="1" applyFill="1" applyBorder="1" applyAlignment="1">
      <alignment horizontal="center"/>
    </xf>
    <xf numFmtId="0" fontId="4" fillId="3" borderId="5" xfId="0" applyFont="1" applyFill="1" applyBorder="1"/>
    <xf numFmtId="9" fontId="5" fillId="3" borderId="6" xfId="0" applyNumberFormat="1" applyFont="1" applyFill="1" applyBorder="1" applyAlignment="1">
      <alignment horizontal="center" wrapText="1"/>
    </xf>
    <xf numFmtId="0" fontId="4" fillId="3" borderId="25" xfId="0" applyFont="1" applyFill="1" applyBorder="1" applyAlignment="1">
      <alignment horizontal="left" vertical="top" wrapText="1"/>
    </xf>
    <xf numFmtId="0" fontId="1" fillId="3" borderId="26" xfId="0" applyFont="1" applyFill="1" applyBorder="1" applyAlignment="1">
      <alignment horizontal="left" vertical="top" wrapText="1"/>
    </xf>
    <xf numFmtId="0" fontId="1" fillId="3" borderId="25" xfId="0" applyFont="1" applyFill="1" applyBorder="1" applyAlignment="1">
      <alignment horizontal="left" vertical="top" wrapText="1"/>
    </xf>
    <xf numFmtId="0" fontId="0" fillId="4" borderId="27" xfId="0" applyFill="1" applyBorder="1" applyAlignment="1"/>
    <xf numFmtId="0" fontId="0" fillId="0" borderId="0" xfId="0" applyFill="1" applyBorder="1" applyAlignment="1"/>
    <xf numFmtId="0" fontId="0" fillId="4" borderId="2" xfId="0" applyFill="1" applyBorder="1" applyAlignment="1" applyProtection="1">
      <alignment horizontal="center" vertical="top"/>
      <protection locked="0"/>
    </xf>
    <xf numFmtId="0" fontId="4" fillId="3" borderId="28" xfId="0" applyFont="1" applyFill="1" applyBorder="1"/>
    <xf numFmtId="0" fontId="0" fillId="3" borderId="29" xfId="0" applyFill="1" applyBorder="1" applyAlignment="1">
      <alignment horizontal="center"/>
    </xf>
    <xf numFmtId="0" fontId="0" fillId="3" borderId="29" xfId="0" applyFill="1" applyBorder="1"/>
    <xf numFmtId="0" fontId="0" fillId="3" borderId="30" xfId="0" applyFill="1" applyBorder="1" applyAlignment="1">
      <alignment wrapText="1"/>
    </xf>
    <xf numFmtId="0" fontId="4" fillId="3" borderId="31" xfId="0" applyFont="1" applyFill="1" applyBorder="1"/>
    <xf numFmtId="0" fontId="0" fillId="3" borderId="32" xfId="0" applyFill="1" applyBorder="1" applyAlignment="1">
      <alignment horizontal="center"/>
    </xf>
    <xf numFmtId="0" fontId="0" fillId="3" borderId="32" xfId="0" applyFill="1" applyBorder="1"/>
    <xf numFmtId="0" fontId="0" fillId="3" borderId="33" xfId="0" applyFill="1" applyBorder="1" applyAlignment="1">
      <alignment wrapText="1"/>
    </xf>
    <xf numFmtId="0" fontId="0" fillId="4" borderId="14" xfId="0" applyFill="1" applyBorder="1" applyAlignment="1" applyProtection="1">
      <alignment horizontal="center" vertical="top"/>
      <protection locked="0"/>
    </xf>
    <xf numFmtId="0" fontId="0" fillId="4" borderId="1" xfId="0" applyFill="1" applyBorder="1" applyAlignment="1" applyProtection="1">
      <alignment horizontal="center" vertical="top"/>
      <protection locked="0"/>
    </xf>
    <xf numFmtId="0" fontId="2" fillId="4" borderId="14" xfId="0" applyFont="1" applyFill="1" applyBorder="1" applyAlignment="1" applyProtection="1">
      <alignment horizontal="center" vertical="top"/>
      <protection locked="0"/>
    </xf>
    <xf numFmtId="9" fontId="0" fillId="4" borderId="14" xfId="0" applyNumberFormat="1" applyFill="1" applyBorder="1" applyAlignment="1" applyProtection="1">
      <alignment horizontal="center" vertical="top"/>
      <protection locked="0"/>
    </xf>
    <xf numFmtId="9" fontId="0" fillId="4" borderId="1" xfId="0" applyNumberFormat="1" applyFill="1" applyBorder="1" applyAlignment="1" applyProtection="1">
      <alignment horizontal="center" vertical="top"/>
      <protection locked="0"/>
    </xf>
    <xf numFmtId="0" fontId="0" fillId="4" borderId="11" xfId="0" applyFill="1" applyBorder="1" applyAlignment="1" applyProtection="1">
      <alignment horizontal="center" vertical="top"/>
      <protection locked="0"/>
    </xf>
    <xf numFmtId="0" fontId="0" fillId="2" borderId="14" xfId="0" applyFill="1" applyBorder="1" applyAlignment="1">
      <alignment horizontal="center"/>
    </xf>
    <xf numFmtId="164" fontId="1" fillId="3" borderId="20" xfId="0" applyNumberFormat="1" applyFont="1" applyFill="1" applyBorder="1" applyAlignment="1">
      <alignment horizontal="center" wrapText="1"/>
    </xf>
    <xf numFmtId="0" fontId="0" fillId="0" borderId="0" xfId="0" applyNumberFormat="1"/>
    <xf numFmtId="0" fontId="5" fillId="0" borderId="0" xfId="0" applyNumberFormat="1" applyFont="1"/>
    <xf numFmtId="0" fontId="1" fillId="3"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36" xfId="0" applyFont="1" applyFill="1" applyBorder="1" applyAlignment="1">
      <alignment horizontal="left" vertical="top" wrapText="1"/>
    </xf>
    <xf numFmtId="9" fontId="0" fillId="2" borderId="1" xfId="0" applyNumberFormat="1" applyFill="1" applyBorder="1" applyAlignment="1">
      <alignment horizontal="center" wrapText="1"/>
    </xf>
    <xf numFmtId="0" fontId="2" fillId="2" borderId="1" xfId="0" applyFont="1" applyFill="1" applyBorder="1" applyAlignment="1">
      <alignment horizontal="left" vertical="top" wrapText="1"/>
    </xf>
    <xf numFmtId="0" fontId="8" fillId="2" borderId="8" xfId="0" applyFont="1" applyFill="1" applyBorder="1" applyAlignment="1">
      <alignment horizontal="left" vertical="top" indent="1"/>
    </xf>
    <xf numFmtId="9" fontId="8" fillId="4" borderId="1" xfId="0" applyNumberFormat="1" applyFont="1" applyFill="1" applyBorder="1" applyAlignment="1" applyProtection="1">
      <alignment horizontal="center" vertical="top"/>
      <protection locked="0"/>
    </xf>
    <xf numFmtId="0" fontId="8" fillId="2" borderId="20" xfId="0" applyFont="1" applyFill="1" applyBorder="1" applyAlignment="1">
      <alignment vertical="top"/>
    </xf>
    <xf numFmtId="0" fontId="8" fillId="2" borderId="8" xfId="0" applyFont="1" applyFill="1" applyBorder="1" applyAlignment="1">
      <alignment horizontal="left" vertical="top" indent="2"/>
    </xf>
    <xf numFmtId="0" fontId="8" fillId="4" borderId="1" xfId="0" applyFont="1" applyFill="1" applyBorder="1" applyAlignment="1" applyProtection="1">
      <alignment horizontal="center" vertical="top"/>
      <protection locked="0"/>
    </xf>
    <xf numFmtId="0" fontId="8" fillId="2" borderId="1" xfId="0" applyFont="1" applyFill="1" applyBorder="1" applyAlignment="1">
      <alignment vertical="top"/>
    </xf>
    <xf numFmtId="0" fontId="8" fillId="2" borderId="7" xfId="0" applyFont="1" applyFill="1" applyBorder="1" applyAlignment="1">
      <alignment vertical="top" wrapText="1"/>
    </xf>
    <xf numFmtId="0" fontId="8" fillId="2" borderId="7" xfId="0" applyFont="1" applyFill="1" applyBorder="1" applyAlignment="1">
      <alignment wrapText="1"/>
    </xf>
    <xf numFmtId="164" fontId="8" fillId="2" borderId="14" xfId="0" applyNumberFormat="1" applyFont="1" applyFill="1" applyBorder="1" applyAlignment="1">
      <alignment horizontal="center"/>
    </xf>
    <xf numFmtId="0" fontId="8" fillId="2" borderId="1" xfId="0" applyFont="1" applyFill="1" applyBorder="1"/>
    <xf numFmtId="0" fontId="2" fillId="2" borderId="1" xfId="0" applyFont="1" applyFill="1" applyBorder="1" applyAlignment="1">
      <alignment vertical="top" wrapText="1"/>
    </xf>
    <xf numFmtId="0" fontId="8" fillId="2" borderId="17" xfId="0" applyFont="1" applyFill="1" applyBorder="1" applyAlignment="1">
      <alignment horizontal="left" vertical="top" indent="1"/>
    </xf>
    <xf numFmtId="0" fontId="8" fillId="4" borderId="18" xfId="0" applyFont="1" applyFill="1" applyBorder="1" applyAlignment="1" applyProtection="1">
      <alignment horizontal="center" vertical="top"/>
      <protection locked="0"/>
    </xf>
    <xf numFmtId="0" fontId="8" fillId="2" borderId="18" xfId="0" applyFont="1" applyFill="1" applyBorder="1" applyAlignment="1">
      <alignment vertical="top"/>
    </xf>
    <xf numFmtId="0" fontId="8" fillId="2" borderId="19" xfId="0" applyFont="1" applyFill="1" applyBorder="1" applyAlignment="1">
      <alignment vertical="top" wrapText="1"/>
    </xf>
    <xf numFmtId="0" fontId="2" fillId="2" borderId="12" xfId="0" applyFont="1" applyFill="1" applyBorder="1" applyAlignment="1">
      <alignment vertical="top" wrapText="1"/>
    </xf>
    <xf numFmtId="0" fontId="2" fillId="2" borderId="1" xfId="0" applyFont="1" applyFill="1" applyBorder="1"/>
    <xf numFmtId="9" fontId="0" fillId="2" borderId="1" xfId="0" applyNumberFormat="1" applyFill="1" applyBorder="1" applyAlignment="1">
      <alignment horizontal="center" vertical="top"/>
    </xf>
    <xf numFmtId="0" fontId="0" fillId="2" borderId="1" xfId="0" applyFill="1" applyBorder="1" applyAlignment="1">
      <alignment vertical="top" wrapText="1"/>
    </xf>
    <xf numFmtId="0" fontId="2" fillId="2" borderId="1" xfId="0" applyFont="1" applyFill="1" applyBorder="1" applyAlignment="1">
      <alignment horizontal="right" vertical="top" indent="1"/>
    </xf>
    <xf numFmtId="0" fontId="11" fillId="5" borderId="0" xfId="0" applyFont="1" applyFill="1"/>
    <xf numFmtId="0" fontId="11" fillId="5" borderId="0" xfId="0" applyFont="1" applyFill="1" applyAlignment="1">
      <alignment horizontal="center"/>
    </xf>
    <xf numFmtId="0" fontId="11" fillId="5" borderId="0" xfId="0" applyFont="1" applyFill="1" applyAlignment="1">
      <alignment wrapText="1"/>
    </xf>
    <xf numFmtId="0" fontId="8" fillId="2" borderId="22" xfId="0" applyFont="1" applyFill="1" applyBorder="1" applyAlignment="1">
      <alignment horizontal="left" vertical="top" indent="1"/>
    </xf>
    <xf numFmtId="0" fontId="8" fillId="4" borderId="16" xfId="0" applyFont="1" applyFill="1" applyBorder="1" applyAlignment="1" applyProtection="1">
      <alignment horizontal="center" vertical="top"/>
      <protection locked="0"/>
    </xf>
    <xf numFmtId="0" fontId="8" fillId="2" borderId="16" xfId="0" applyFont="1" applyFill="1" applyBorder="1" applyAlignment="1">
      <alignment vertical="top"/>
    </xf>
    <xf numFmtId="0" fontId="8" fillId="2" borderId="37" xfId="0" applyFont="1" applyFill="1" applyBorder="1" applyAlignment="1">
      <alignment vertical="top" wrapText="1"/>
    </xf>
    <xf numFmtId="0" fontId="12" fillId="2" borderId="1" xfId="0" applyFont="1" applyFill="1" applyBorder="1" applyAlignment="1">
      <alignment horizontal="left" vertical="top" indent="1"/>
    </xf>
    <xf numFmtId="0" fontId="12" fillId="4" borderId="1" xfId="0" applyFont="1" applyFill="1" applyBorder="1" applyAlignment="1" applyProtection="1">
      <alignment horizontal="center" vertical="top"/>
      <protection locked="0"/>
    </xf>
    <xf numFmtId="0" fontId="12" fillId="2" borderId="1" xfId="0" applyFont="1" applyFill="1" applyBorder="1" applyAlignment="1">
      <alignment vertical="top"/>
    </xf>
    <xf numFmtId="0" fontId="0" fillId="2" borderId="0" xfId="0" applyFill="1" applyBorder="1" applyAlignment="1">
      <alignment horizontal="left" vertical="top" indent="2"/>
    </xf>
    <xf numFmtId="0" fontId="0" fillId="4" borderId="0" xfId="0" applyFill="1" applyBorder="1" applyAlignment="1" applyProtection="1">
      <alignment horizontal="center" vertical="top"/>
      <protection locked="0"/>
    </xf>
    <xf numFmtId="0" fontId="2" fillId="2" borderId="0" xfId="0" applyFont="1" applyFill="1" applyBorder="1" applyAlignment="1">
      <alignment vertical="top"/>
    </xf>
    <xf numFmtId="0" fontId="0" fillId="2" borderId="0" xfId="0" applyFill="1" applyBorder="1" applyAlignment="1">
      <alignment vertical="top" wrapText="1"/>
    </xf>
    <xf numFmtId="165" fontId="0" fillId="2" borderId="1" xfId="1" applyNumberFormat="1" applyFont="1" applyFill="1" applyBorder="1" applyAlignment="1">
      <alignment horizontal="center"/>
    </xf>
    <xf numFmtId="43" fontId="0" fillId="0" borderId="0" xfId="0" applyNumberFormat="1"/>
    <xf numFmtId="165" fontId="4" fillId="3" borderId="5" xfId="1" applyNumberFormat="1" applyFont="1" applyFill="1" applyBorder="1" applyAlignment="1">
      <alignment horizontal="center"/>
    </xf>
    <xf numFmtId="0" fontId="1" fillId="3" borderId="24" xfId="0" applyFont="1" applyFill="1" applyBorder="1" applyAlignment="1"/>
    <xf numFmtId="0" fontId="1" fillId="3" borderId="47" xfId="0" applyFont="1" applyFill="1" applyBorder="1" applyAlignment="1">
      <alignment horizontal="center"/>
    </xf>
    <xf numFmtId="0" fontId="1" fillId="3" borderId="48" xfId="0" applyFont="1" applyFill="1" applyBorder="1" applyAlignment="1">
      <alignment horizontal="center"/>
    </xf>
    <xf numFmtId="164" fontId="1" fillId="3" borderId="7" xfId="0" applyNumberFormat="1" applyFont="1" applyFill="1" applyBorder="1" applyAlignment="1">
      <alignment horizontal="center" wrapText="1"/>
    </xf>
    <xf numFmtId="0" fontId="1" fillId="3" borderId="49" xfId="0" applyFont="1" applyFill="1" applyBorder="1" applyAlignment="1"/>
    <xf numFmtId="0" fontId="1" fillId="3" borderId="46" xfId="0" applyFont="1" applyFill="1" applyBorder="1" applyAlignment="1">
      <alignment horizontal="center"/>
    </xf>
    <xf numFmtId="0" fontId="2" fillId="2" borderId="8" xfId="0" applyFont="1" applyFill="1" applyBorder="1" applyAlignment="1">
      <alignment horizontal="left" indent="1"/>
    </xf>
    <xf numFmtId="0" fontId="0" fillId="2" borderId="13" xfId="0" applyFill="1" applyBorder="1" applyAlignment="1">
      <alignment horizontal="left" indent="1"/>
    </xf>
    <xf numFmtId="0" fontId="0" fillId="2" borderId="8" xfId="0" applyFill="1" applyBorder="1" applyAlignment="1">
      <alignment horizontal="left" indent="1"/>
    </xf>
    <xf numFmtId="0" fontId="0" fillId="2" borderId="8" xfId="0" applyFill="1" applyBorder="1"/>
    <xf numFmtId="0" fontId="2" fillId="2" borderId="8" xfId="0" applyFont="1" applyFill="1" applyBorder="1"/>
    <xf numFmtId="0" fontId="2" fillId="2" borderId="9" xfId="0" applyFont="1" applyFill="1" applyBorder="1"/>
    <xf numFmtId="0" fontId="0" fillId="2" borderId="2" xfId="0" applyFill="1" applyBorder="1" applyAlignment="1">
      <alignment horizontal="center"/>
    </xf>
    <xf numFmtId="0" fontId="12" fillId="2" borderId="1" xfId="0" applyFont="1" applyFill="1" applyBorder="1" applyAlignment="1">
      <alignment vertical="top" wrapText="1"/>
    </xf>
    <xf numFmtId="0" fontId="6" fillId="0" borderId="0" xfId="0" applyFont="1" applyAlignment="1">
      <alignment horizontal="left" vertical="top" wrapText="1"/>
    </xf>
    <xf numFmtId="9" fontId="0" fillId="2" borderId="15" xfId="0" applyNumberFormat="1" applyFill="1" applyBorder="1" applyAlignment="1">
      <alignment horizontal="left" vertical="top" wrapText="1"/>
    </xf>
    <xf numFmtId="0" fontId="1" fillId="3" borderId="0" xfId="0" applyFont="1" applyFill="1" applyBorder="1" applyAlignment="1"/>
    <xf numFmtId="0" fontId="0" fillId="2" borderId="51" xfId="0" applyFill="1" applyBorder="1" applyAlignment="1">
      <alignment horizontal="center"/>
    </xf>
    <xf numFmtId="0" fontId="1" fillId="3" borderId="0" xfId="0" applyFont="1" applyFill="1" applyBorder="1" applyAlignment="1">
      <alignment horizontal="left"/>
    </xf>
    <xf numFmtId="0" fontId="1" fillId="3" borderId="45" xfId="0" applyFont="1" applyFill="1" applyBorder="1" applyAlignment="1">
      <alignment horizontal="left"/>
    </xf>
    <xf numFmtId="0" fontId="0" fillId="2" borderId="0" xfId="0" applyFill="1" applyBorder="1" applyAlignment="1">
      <alignment horizontal="center"/>
    </xf>
    <xf numFmtId="0" fontId="1" fillId="3" borderId="45" xfId="0" applyFont="1" applyFill="1" applyBorder="1" applyAlignment="1">
      <alignment horizontal="center"/>
    </xf>
    <xf numFmtId="0" fontId="2" fillId="2" borderId="38" xfId="0" applyFont="1" applyFill="1" applyBorder="1" applyAlignment="1">
      <alignment horizontal="left" indent="1"/>
    </xf>
    <xf numFmtId="0" fontId="2" fillId="2" borderId="1" xfId="0" applyFont="1" applyFill="1" applyBorder="1" applyAlignment="1">
      <alignment horizontal="center"/>
    </xf>
    <xf numFmtId="0" fontId="2" fillId="2" borderId="51" xfId="0" applyFont="1" applyFill="1" applyBorder="1" applyAlignment="1">
      <alignment horizontal="center"/>
    </xf>
    <xf numFmtId="0" fontId="2" fillId="2" borderId="7" xfId="0" applyFont="1" applyFill="1" applyBorder="1" applyAlignment="1">
      <alignment vertical="top" wrapText="1"/>
    </xf>
    <xf numFmtId="0" fontId="2" fillId="2" borderId="15" xfId="0" applyFont="1" applyFill="1" applyBorder="1" applyAlignment="1">
      <alignment vertical="top" wrapText="1"/>
    </xf>
    <xf numFmtId="0" fontId="6" fillId="0" borderId="0" xfId="0" applyFont="1" applyAlignment="1">
      <alignment horizontal="left" vertical="top" wrapText="1"/>
    </xf>
    <xf numFmtId="0" fontId="2" fillId="2" borderId="22" xfId="0" applyFont="1" applyFill="1" applyBorder="1"/>
    <xf numFmtId="0" fontId="0" fillId="2" borderId="16" xfId="0" applyFill="1" applyBorder="1" applyAlignment="1">
      <alignment horizontal="center"/>
    </xf>
    <xf numFmtId="0" fontId="0" fillId="6" borderId="51" xfId="0" applyFill="1" applyBorder="1" applyAlignment="1">
      <alignment horizontal="center"/>
    </xf>
    <xf numFmtId="0" fontId="1" fillId="6" borderId="0" xfId="0" applyFont="1" applyFill="1" applyBorder="1" applyAlignment="1">
      <alignment horizontal="left"/>
    </xf>
    <xf numFmtId="0" fontId="1" fillId="6" borderId="45" xfId="0" applyFont="1" applyFill="1" applyBorder="1" applyAlignment="1">
      <alignment horizontal="left"/>
    </xf>
    <xf numFmtId="0" fontId="0" fillId="6" borderId="0" xfId="0" applyFill="1" applyBorder="1" applyAlignment="1">
      <alignment horizontal="center"/>
    </xf>
    <xf numFmtId="0" fontId="0" fillId="6" borderId="1" xfId="0" applyFill="1" applyBorder="1" applyAlignment="1">
      <alignment horizontal="center"/>
    </xf>
    <xf numFmtId="164" fontId="12" fillId="2" borderId="14" xfId="0" applyNumberFormat="1" applyFont="1" applyFill="1" applyBorder="1" applyAlignment="1">
      <alignment horizontal="center"/>
    </xf>
    <xf numFmtId="0" fontId="12" fillId="2" borderId="1" xfId="0" applyFont="1" applyFill="1" applyBorder="1"/>
    <xf numFmtId="9" fontId="12" fillId="2" borderId="15" xfId="0" applyNumberFormat="1" applyFont="1" applyFill="1" applyBorder="1" applyAlignment="1">
      <alignment horizontal="center" wrapText="1"/>
    </xf>
    <xf numFmtId="165" fontId="2" fillId="2" borderId="51" xfId="1" applyNumberFormat="1" applyFont="1" applyFill="1" applyBorder="1" applyAlignment="1">
      <alignment horizontal="center"/>
    </xf>
    <xf numFmtId="165" fontId="0" fillId="2" borderId="51" xfId="1" applyNumberFormat="1" applyFont="1" applyFill="1" applyBorder="1" applyAlignment="1">
      <alignment horizontal="center"/>
    </xf>
    <xf numFmtId="0" fontId="6" fillId="0" borderId="0" xfId="0" applyFont="1" applyAlignment="1">
      <alignment horizontal="left" vertical="top" wrapText="1"/>
    </xf>
    <xf numFmtId="165" fontId="2" fillId="2" borderId="51" xfId="1" applyNumberFormat="1" applyFont="1" applyFill="1" applyBorder="1" applyAlignment="1">
      <alignment horizontal="right"/>
    </xf>
    <xf numFmtId="165" fontId="0" fillId="2" borderId="51" xfId="1" applyNumberFormat="1" applyFont="1" applyFill="1" applyBorder="1" applyAlignment="1">
      <alignment horizontal="right"/>
    </xf>
    <xf numFmtId="0" fontId="2" fillId="2" borderId="51" xfId="0" applyFont="1" applyFill="1" applyBorder="1" applyAlignment="1">
      <alignment horizontal="right"/>
    </xf>
    <xf numFmtId="0" fontId="2" fillId="2" borderId="1" xfId="0" applyFont="1" applyFill="1" applyBorder="1" applyAlignment="1">
      <alignment horizontal="right"/>
    </xf>
    <xf numFmtId="0" fontId="0" fillId="2" borderId="51" xfId="0" applyFill="1" applyBorder="1" applyAlignment="1">
      <alignment horizontal="right"/>
    </xf>
    <xf numFmtId="0" fontId="0" fillId="2" borderId="1" xfId="0" applyFill="1" applyBorder="1" applyAlignment="1">
      <alignment horizontal="right"/>
    </xf>
    <xf numFmtId="0" fontId="0" fillId="2" borderId="16" xfId="0" applyFill="1" applyBorder="1" applyAlignment="1">
      <alignment horizontal="right"/>
    </xf>
    <xf numFmtId="0" fontId="0" fillId="2" borderId="2" xfId="0" applyFill="1" applyBorder="1" applyAlignment="1">
      <alignment horizontal="right"/>
    </xf>
    <xf numFmtId="0" fontId="1" fillId="3" borderId="0" xfId="0" applyFont="1" applyFill="1" applyBorder="1" applyAlignment="1">
      <alignment horizontal="right"/>
    </xf>
    <xf numFmtId="0" fontId="1" fillId="3" borderId="45" xfId="0" applyFont="1" applyFill="1" applyBorder="1" applyAlignment="1">
      <alignment horizontal="right"/>
    </xf>
    <xf numFmtId="0" fontId="0" fillId="2" borderId="0" xfId="0" applyFill="1" applyBorder="1" applyAlignment="1">
      <alignment horizontal="right"/>
    </xf>
    <xf numFmtId="0" fontId="2" fillId="2" borderId="15" xfId="0" applyFont="1" applyFill="1" applyBorder="1" applyAlignment="1">
      <alignment horizontal="right"/>
    </xf>
    <xf numFmtId="0" fontId="1" fillId="3" borderId="46" xfId="0" applyFont="1" applyFill="1" applyBorder="1" applyAlignment="1">
      <alignment horizontal="right"/>
    </xf>
    <xf numFmtId="0" fontId="0" fillId="0" borderId="50" xfId="0" applyBorder="1" applyAlignment="1">
      <alignment horizontal="right"/>
    </xf>
    <xf numFmtId="0" fontId="2" fillId="2" borderId="7" xfId="0" applyFont="1" applyFill="1" applyBorder="1" applyAlignment="1">
      <alignment horizontal="right"/>
    </xf>
    <xf numFmtId="0" fontId="0" fillId="2" borderId="7" xfId="0" applyFill="1" applyBorder="1" applyAlignment="1">
      <alignment horizontal="right"/>
    </xf>
    <xf numFmtId="0" fontId="0" fillId="2" borderId="37" xfId="0" applyFill="1" applyBorder="1" applyAlignment="1">
      <alignment horizontal="right"/>
    </xf>
    <xf numFmtId="0" fontId="0" fillId="2" borderId="3" xfId="0" applyFill="1" applyBorder="1" applyAlignment="1">
      <alignment horizontal="right"/>
    </xf>
    <xf numFmtId="0" fontId="2" fillId="2" borderId="17" xfId="0" applyFont="1" applyFill="1" applyBorder="1"/>
    <xf numFmtId="0" fontId="2" fillId="6" borderId="17" xfId="0" applyFont="1" applyFill="1" applyBorder="1"/>
    <xf numFmtId="0" fontId="2" fillId="6" borderId="9" xfId="0" applyFont="1" applyFill="1" applyBorder="1"/>
    <xf numFmtId="9" fontId="0" fillId="2" borderId="37" xfId="0" applyNumberFormat="1" applyFill="1" applyBorder="1" applyAlignment="1">
      <alignment horizontal="left" vertical="top" wrapText="1"/>
    </xf>
    <xf numFmtId="0" fontId="0" fillId="2" borderId="13" xfId="0" applyFont="1" applyFill="1" applyBorder="1" applyAlignment="1">
      <alignment horizontal="left" indent="1"/>
    </xf>
    <xf numFmtId="0" fontId="0" fillId="2" borderId="8" xfId="0" applyFont="1" applyFill="1" applyBorder="1" applyAlignment="1">
      <alignment horizontal="left" indent="1"/>
    </xf>
    <xf numFmtId="0" fontId="0" fillId="2" borderId="52" xfId="0" applyFill="1" applyBorder="1" applyAlignment="1">
      <alignment horizontal="center"/>
    </xf>
    <xf numFmtId="0" fontId="0" fillId="6" borderId="23" xfId="0" applyFill="1" applyBorder="1" applyAlignment="1">
      <alignment horizontal="center"/>
    </xf>
    <xf numFmtId="0" fontId="2" fillId="2" borderId="23" xfId="0" applyFont="1" applyFill="1" applyBorder="1" applyAlignment="1">
      <alignment horizontal="center"/>
    </xf>
    <xf numFmtId="165" fontId="2" fillId="2" borderId="23" xfId="1" applyNumberFormat="1" applyFont="1" applyFill="1" applyBorder="1" applyAlignment="1">
      <alignment horizontal="right"/>
    </xf>
    <xf numFmtId="0" fontId="2" fillId="2" borderId="23" xfId="0" applyFont="1" applyFill="1" applyBorder="1" applyAlignment="1">
      <alignment horizontal="right"/>
    </xf>
    <xf numFmtId="0" fontId="2" fillId="2" borderId="21" xfId="0" applyFont="1" applyFill="1" applyBorder="1" applyAlignment="1">
      <alignment horizontal="right"/>
    </xf>
    <xf numFmtId="165" fontId="2" fillId="2" borderId="1" xfId="1" applyNumberFormat="1" applyFont="1" applyFill="1" applyBorder="1" applyAlignment="1">
      <alignment horizontal="right"/>
    </xf>
    <xf numFmtId="0" fontId="0" fillId="2" borderId="1" xfId="0" applyFont="1" applyFill="1" applyBorder="1" applyAlignment="1">
      <alignment horizontal="right"/>
    </xf>
    <xf numFmtId="0" fontId="8" fillId="2" borderId="53" xfId="0" applyFont="1" applyFill="1" applyBorder="1" applyAlignment="1">
      <alignment vertical="top" wrapText="1"/>
    </xf>
    <xf numFmtId="0" fontId="0" fillId="2" borderId="8" xfId="0" applyFont="1" applyFill="1" applyBorder="1" applyAlignment="1">
      <alignment horizontal="left" vertical="top" indent="1"/>
    </xf>
    <xf numFmtId="0" fontId="12" fillId="2" borderId="53" xfId="0" applyFont="1" applyFill="1" applyBorder="1" applyAlignment="1">
      <alignment vertical="top" wrapText="1"/>
    </xf>
    <xf numFmtId="0" fontId="0" fillId="2" borderId="54" xfId="0" applyFont="1" applyFill="1" applyBorder="1" applyAlignment="1">
      <alignment horizontal="left" vertical="top" indent="1"/>
    </xf>
    <xf numFmtId="0" fontId="0" fillId="2" borderId="13" xfId="0" applyFont="1" applyFill="1" applyBorder="1" applyAlignment="1">
      <alignment horizontal="left" vertical="top" indent="1"/>
    </xf>
    <xf numFmtId="0" fontId="0" fillId="2" borderId="14" xfId="0" applyFont="1" applyFill="1" applyBorder="1" applyAlignment="1">
      <alignment horizontal="left" vertical="top"/>
    </xf>
    <xf numFmtId="0" fontId="0" fillId="2" borderId="15" xfId="0" applyFont="1" applyFill="1" applyBorder="1" applyAlignment="1">
      <alignment horizontal="left" vertical="top"/>
    </xf>
    <xf numFmtId="0" fontId="12" fillId="2" borderId="20" xfId="0" applyFont="1" applyFill="1" applyBorder="1" applyAlignment="1">
      <alignment vertical="top"/>
    </xf>
    <xf numFmtId="0" fontId="12" fillId="2" borderId="22" xfId="0" applyFont="1" applyFill="1" applyBorder="1" applyAlignment="1">
      <alignment horizontal="left" vertical="top" indent="1"/>
    </xf>
    <xf numFmtId="0" fontId="0" fillId="2" borderId="21" xfId="0" applyFill="1" applyBorder="1" applyAlignment="1">
      <alignment horizontal="left" vertical="top" wrapText="1"/>
    </xf>
    <xf numFmtId="165" fontId="0" fillId="7" borderId="1" xfId="1" applyNumberFormat="1" applyFont="1" applyFill="1" applyBorder="1" applyAlignment="1">
      <alignment horizontal="center"/>
    </xf>
    <xf numFmtId="0" fontId="0" fillId="7" borderId="1" xfId="0" applyFill="1" applyBorder="1"/>
    <xf numFmtId="9" fontId="0" fillId="7" borderId="1" xfId="0" applyNumberFormat="1" applyFill="1" applyBorder="1" applyAlignment="1">
      <alignment horizontal="center" wrapText="1"/>
    </xf>
    <xf numFmtId="0" fontId="0" fillId="7" borderId="1" xfId="0" applyFill="1" applyBorder="1" applyAlignment="1">
      <alignment vertical="top" wrapText="1"/>
    </xf>
    <xf numFmtId="164" fontId="0" fillId="7" borderId="1" xfId="0" applyNumberFormat="1" applyFill="1" applyBorder="1" applyAlignment="1">
      <alignment horizontal="center"/>
    </xf>
    <xf numFmtId="9" fontId="0" fillId="7" borderId="15" xfId="0" applyNumberFormat="1" applyFill="1" applyBorder="1" applyAlignment="1">
      <alignment horizontal="center" wrapText="1"/>
    </xf>
    <xf numFmtId="164" fontId="12" fillId="7" borderId="14" xfId="0" applyNumberFormat="1" applyFont="1" applyFill="1" applyBorder="1" applyAlignment="1">
      <alignment horizontal="center"/>
    </xf>
    <xf numFmtId="0" fontId="12" fillId="7" borderId="1" xfId="0" applyFont="1" applyFill="1" applyBorder="1"/>
    <xf numFmtId="9" fontId="12" fillId="7" borderId="15" xfId="0" applyNumberFormat="1" applyFont="1" applyFill="1" applyBorder="1" applyAlignment="1">
      <alignment horizontal="center" wrapText="1"/>
    </xf>
    <xf numFmtId="0" fontId="2" fillId="7" borderId="1" xfId="0" applyFont="1" applyFill="1" applyBorder="1"/>
    <xf numFmtId="0" fontId="0" fillId="7" borderId="13" xfId="0" applyFont="1" applyFill="1" applyBorder="1" applyAlignment="1">
      <alignment horizontal="left" indent="1"/>
    </xf>
    <xf numFmtId="0" fontId="0" fillId="7" borderId="8" xfId="0" applyFont="1" applyFill="1" applyBorder="1" applyAlignment="1">
      <alignment horizontal="left" indent="1"/>
    </xf>
    <xf numFmtId="0" fontId="0" fillId="7" borderId="22" xfId="0" applyFont="1" applyFill="1" applyBorder="1" applyAlignment="1">
      <alignment horizontal="left" indent="1"/>
    </xf>
    <xf numFmtId="0" fontId="0" fillId="7" borderId="1" xfId="0" applyFont="1" applyFill="1" applyBorder="1" applyAlignment="1">
      <alignment horizontal="left" indent="1"/>
    </xf>
    <xf numFmtId="0" fontId="0" fillId="7" borderId="8" xfId="0" applyFill="1" applyBorder="1" applyAlignment="1">
      <alignment horizontal="left" indent="1"/>
    </xf>
    <xf numFmtId="0" fontId="2" fillId="7" borderId="8" xfId="0" applyFont="1" applyFill="1" applyBorder="1" applyAlignment="1">
      <alignment horizontal="left" indent="1"/>
    </xf>
    <xf numFmtId="0" fontId="0" fillId="7" borderId="8" xfId="0" applyFont="1" applyFill="1" applyBorder="1"/>
    <xf numFmtId="0" fontId="2" fillId="4" borderId="14" xfId="0" applyFont="1" applyFill="1" applyBorder="1" applyAlignment="1" applyProtection="1">
      <alignment horizontal="center" vertical="top"/>
      <protection locked="0"/>
    </xf>
    <xf numFmtId="9" fontId="0" fillId="4" borderId="11" xfId="0" applyNumberFormat="1" applyFill="1" applyBorder="1" applyAlignment="1" applyProtection="1">
      <alignment horizontal="center" vertical="top"/>
      <protection locked="0"/>
    </xf>
    <xf numFmtId="9" fontId="0" fillId="4" borderId="14" xfId="0" applyNumberFormat="1" applyFill="1" applyBorder="1" applyAlignment="1" applyProtection="1">
      <alignment horizontal="center" vertical="top"/>
      <protection locked="0"/>
    </xf>
    <xf numFmtId="9" fontId="0" fillId="4" borderId="1" xfId="0" applyNumberFormat="1" applyFill="1" applyBorder="1" applyAlignment="1" applyProtection="1">
      <alignment horizontal="center" vertical="top"/>
      <protection locked="0"/>
    </xf>
    <xf numFmtId="9" fontId="8" fillId="4" borderId="1" xfId="0" applyNumberFormat="1" applyFont="1" applyFill="1" applyBorder="1" applyAlignment="1" applyProtection="1">
      <alignment horizontal="center" vertical="top"/>
      <protection locked="0"/>
    </xf>
    <xf numFmtId="9" fontId="0" fillId="2" borderId="1" xfId="0" applyNumberFormat="1" applyFill="1" applyBorder="1" applyAlignment="1">
      <alignment horizontal="center" vertical="top"/>
    </xf>
    <xf numFmtId="0" fontId="0" fillId="0" borderId="0" xfId="0" applyFill="1" applyBorder="1"/>
    <xf numFmtId="165" fontId="0" fillId="2" borderId="51" xfId="2" applyNumberFormat="1" applyFont="1" applyFill="1" applyBorder="1" applyAlignment="1">
      <alignment horizontal="right"/>
    </xf>
    <xf numFmtId="165" fontId="0" fillId="2" borderId="51" xfId="2" applyNumberFormat="1" applyFont="1" applyFill="1" applyBorder="1" applyAlignment="1">
      <alignment horizontal="center"/>
    </xf>
    <xf numFmtId="165" fontId="0" fillId="2" borderId="20" xfId="2" applyNumberFormat="1" applyFont="1" applyFill="1" applyBorder="1" applyAlignment="1">
      <alignment horizontal="center"/>
    </xf>
    <xf numFmtId="0" fontId="6" fillId="0" borderId="0" xfId="0" applyFont="1" applyAlignment="1">
      <alignment horizontal="left" vertical="top" wrapText="1"/>
    </xf>
    <xf numFmtId="0" fontId="1" fillId="3" borderId="38" xfId="0" applyFont="1" applyFill="1" applyBorder="1" applyAlignment="1">
      <alignment horizontal="left" vertical="top" indent="1"/>
    </xf>
    <xf numFmtId="0" fontId="1" fillId="3" borderId="39" xfId="0" applyFont="1" applyFill="1" applyBorder="1" applyAlignment="1">
      <alignment horizontal="left" vertical="top" indent="1"/>
    </xf>
    <xf numFmtId="0" fontId="1" fillId="3" borderId="40" xfId="0" applyFont="1" applyFill="1" applyBorder="1" applyAlignment="1">
      <alignment horizontal="left" vertical="top" indent="1"/>
    </xf>
    <xf numFmtId="0" fontId="4" fillId="3" borderId="41" xfId="0" applyFont="1" applyFill="1" applyBorder="1" applyAlignment="1">
      <alignment horizontal="left" vertical="top"/>
    </xf>
    <xf numFmtId="0" fontId="4" fillId="3" borderId="42" xfId="0" applyFont="1" applyFill="1" applyBorder="1" applyAlignment="1">
      <alignment horizontal="left" vertical="top"/>
    </xf>
    <xf numFmtId="0" fontId="4" fillId="3" borderId="43" xfId="0" applyFont="1" applyFill="1" applyBorder="1" applyAlignment="1">
      <alignment horizontal="left" vertical="top"/>
    </xf>
    <xf numFmtId="0" fontId="4" fillId="3" borderId="31" xfId="0" applyFont="1" applyFill="1" applyBorder="1" applyAlignment="1">
      <alignment horizontal="left" vertical="top"/>
    </xf>
    <xf numFmtId="0" fontId="4" fillId="3" borderId="32" xfId="0" applyFont="1" applyFill="1" applyBorder="1" applyAlignment="1">
      <alignment horizontal="left" vertical="top"/>
    </xf>
    <xf numFmtId="0" fontId="4" fillId="3" borderId="33" xfId="0" applyFont="1" applyFill="1" applyBorder="1" applyAlignment="1">
      <alignment horizontal="left" vertical="top"/>
    </xf>
    <xf numFmtId="0" fontId="0" fillId="2" borderId="21" xfId="0" applyFill="1" applyBorder="1" applyAlignment="1">
      <alignment horizontal="left" vertical="top" wrapText="1"/>
    </xf>
    <xf numFmtId="9" fontId="0" fillId="2" borderId="37" xfId="0" applyNumberFormat="1" applyFill="1" applyBorder="1" applyAlignment="1">
      <alignment horizontal="left" vertical="top" wrapText="1"/>
    </xf>
    <xf numFmtId="9" fontId="0" fillId="2" borderId="15" xfId="0" applyNumberFormat="1" applyFill="1" applyBorder="1" applyAlignment="1">
      <alignment horizontal="left" vertical="top" wrapText="1"/>
    </xf>
    <xf numFmtId="0" fontId="9" fillId="3" borderId="44" xfId="0" applyFont="1" applyFill="1" applyBorder="1" applyAlignment="1">
      <alignment horizontal="left" vertical="top" indent="1"/>
    </xf>
    <xf numFmtId="0" fontId="9" fillId="3" borderId="45" xfId="0" applyFont="1" applyFill="1" applyBorder="1" applyAlignment="1">
      <alignment horizontal="left" vertical="top" indent="1"/>
    </xf>
    <xf numFmtId="0" fontId="9" fillId="3" borderId="46" xfId="0" applyFont="1" applyFill="1" applyBorder="1" applyAlignment="1">
      <alignment horizontal="left" vertical="top" indent="1"/>
    </xf>
    <xf numFmtId="0" fontId="9" fillId="3" borderId="38" xfId="0" applyFont="1" applyFill="1" applyBorder="1" applyAlignment="1">
      <alignment horizontal="left" vertical="top" indent="1"/>
    </xf>
    <xf numFmtId="0" fontId="9" fillId="3" borderId="39" xfId="0" applyFont="1" applyFill="1" applyBorder="1" applyAlignment="1">
      <alignment horizontal="left" vertical="top" indent="1"/>
    </xf>
    <xf numFmtId="0" fontId="9" fillId="3" borderId="40" xfId="0" applyFont="1" applyFill="1" applyBorder="1" applyAlignment="1">
      <alignment horizontal="left" vertical="top" indent="1"/>
    </xf>
    <xf numFmtId="0" fontId="4" fillId="3" borderId="4" xfId="0" applyFont="1" applyFill="1" applyBorder="1" applyAlignment="1">
      <alignment horizontal="left"/>
    </xf>
    <xf numFmtId="0" fontId="4" fillId="3" borderId="5" xfId="0" applyFont="1" applyFill="1" applyBorder="1" applyAlignment="1">
      <alignment horizontal="left"/>
    </xf>
    <xf numFmtId="0" fontId="4" fillId="3" borderId="6" xfId="0" applyFont="1" applyFill="1" applyBorder="1" applyAlignment="1">
      <alignment horizontal="left"/>
    </xf>
    <xf numFmtId="0" fontId="1" fillId="3" borderId="49" xfId="0" applyFont="1" applyFill="1" applyBorder="1" applyAlignment="1">
      <alignment horizontal="center"/>
    </xf>
    <xf numFmtId="0" fontId="1" fillId="3" borderId="24" xfId="0" applyFont="1" applyFill="1" applyBorder="1" applyAlignment="1">
      <alignment horizontal="center"/>
    </xf>
    <xf numFmtId="0" fontId="1" fillId="3" borderId="38" xfId="0" applyFont="1" applyFill="1" applyBorder="1" applyAlignment="1">
      <alignment horizontal="center"/>
    </xf>
    <xf numFmtId="0" fontId="1" fillId="3" borderId="39" xfId="0" applyFont="1" applyFill="1" applyBorder="1" applyAlignment="1">
      <alignment horizontal="center"/>
    </xf>
    <xf numFmtId="0" fontId="1" fillId="3" borderId="17" xfId="0" applyFont="1" applyFill="1" applyBorder="1" applyAlignment="1">
      <alignment horizontal="left" vertical="top"/>
    </xf>
    <xf numFmtId="0" fontId="1" fillId="3" borderId="8" xfId="0" applyFont="1" applyFill="1" applyBorder="1" applyAlignment="1">
      <alignment horizontal="left" vertical="top"/>
    </xf>
    <xf numFmtId="0" fontId="1" fillId="3" borderId="38" xfId="0" applyFont="1" applyFill="1" applyBorder="1" applyAlignment="1">
      <alignment horizontal="left"/>
    </xf>
    <xf numFmtId="0" fontId="1" fillId="3" borderId="39" xfId="0" applyFont="1" applyFill="1" applyBorder="1" applyAlignment="1">
      <alignment horizontal="left"/>
    </xf>
    <xf numFmtId="0" fontId="1" fillId="3" borderId="49" xfId="0" applyFont="1" applyFill="1" applyBorder="1" applyAlignment="1">
      <alignment horizontal="left"/>
    </xf>
    <xf numFmtId="0" fontId="1" fillId="3" borderId="24" xfId="0" applyFont="1" applyFill="1" applyBorder="1" applyAlignment="1">
      <alignment horizontal="left"/>
    </xf>
    <xf numFmtId="0" fontId="2" fillId="0" borderId="1" xfId="0" applyFont="1" applyBorder="1"/>
    <xf numFmtId="165" fontId="1" fillId="3" borderId="5" xfId="1" applyNumberFormat="1" applyFont="1" applyFill="1" applyBorder="1" applyAlignment="1">
      <alignment horizontal="center"/>
    </xf>
    <xf numFmtId="0" fontId="1" fillId="3" borderId="5" xfId="0" applyFont="1" applyFill="1" applyBorder="1"/>
    <xf numFmtId="0" fontId="1" fillId="3" borderId="4" xfId="0" applyFont="1" applyFill="1" applyBorder="1" applyAlignment="1"/>
    <xf numFmtId="0" fontId="2" fillId="2" borderId="13" xfId="0" applyFont="1" applyFill="1" applyBorder="1" applyAlignment="1">
      <alignment vertical="top"/>
    </xf>
    <xf numFmtId="0" fontId="2" fillId="2" borderId="9" xfId="0" applyFont="1" applyFill="1" applyBorder="1" applyAlignment="1">
      <alignment vertical="top"/>
    </xf>
    <xf numFmtId="0" fontId="0" fillId="7" borderId="13" xfId="0" applyFont="1" applyFill="1" applyBorder="1" applyAlignment="1">
      <alignment vertical="top"/>
    </xf>
    <xf numFmtId="0" fontId="0" fillId="7" borderId="9" xfId="0" applyFont="1" applyFill="1" applyBorder="1" applyAlignment="1">
      <alignment vertical="top"/>
    </xf>
    <xf numFmtId="0" fontId="0" fillId="2" borderId="13" xfId="0" applyFill="1" applyBorder="1" applyAlignment="1">
      <alignment vertical="top"/>
    </xf>
    <xf numFmtId="0" fontId="0" fillId="2" borderId="8" xfId="0" applyFill="1" applyBorder="1" applyAlignment="1">
      <alignment vertical="top"/>
    </xf>
    <xf numFmtId="0" fontId="2" fillId="2" borderId="8" xfId="0" applyFont="1" applyFill="1" applyBorder="1" applyAlignment="1">
      <alignment vertical="top"/>
    </xf>
    <xf numFmtId="0" fontId="0" fillId="7" borderId="13" xfId="0" applyFill="1" applyBorder="1" applyAlignment="1">
      <alignment vertical="top"/>
    </xf>
    <xf numFmtId="0" fontId="0" fillId="7" borderId="8" xfId="0" applyFill="1" applyBorder="1" applyAlignment="1">
      <alignment vertical="top"/>
    </xf>
    <xf numFmtId="0" fontId="2" fillId="2" borderId="10" xfId="0" applyFont="1" applyFill="1" applyBorder="1" applyAlignment="1">
      <alignment vertical="top"/>
    </xf>
    <xf numFmtId="0" fontId="0" fillId="2" borderId="9" xfId="0" applyFill="1" applyBorder="1" applyAlignment="1">
      <alignment vertical="top"/>
    </xf>
    <xf numFmtId="0" fontId="0" fillId="2" borderId="1" xfId="0" applyFont="1" applyFill="1" applyBorder="1" applyAlignment="1">
      <alignment vertical="top"/>
    </xf>
    <xf numFmtId="0" fontId="0" fillId="7" borderId="1" xfId="0" applyFont="1" applyFill="1" applyBorder="1" applyAlignment="1">
      <alignment vertical="top"/>
    </xf>
    <xf numFmtId="0" fontId="2" fillId="2" borderId="13" xfId="0" applyFont="1" applyFill="1" applyBorder="1" applyAlignment="1"/>
    <xf numFmtId="0" fontId="2" fillId="2" borderId="8" xfId="0" applyFont="1" applyFill="1" applyBorder="1" applyAlignment="1"/>
    <xf numFmtId="0" fontId="0" fillId="2" borderId="8" xfId="0" applyFill="1" applyBorder="1" applyAlignment="1"/>
    <xf numFmtId="0" fontId="12" fillId="2" borderId="8" xfId="0" applyFont="1" applyFill="1" applyBorder="1" applyAlignment="1"/>
    <xf numFmtId="0" fontId="0" fillId="7" borderId="8" xfId="0" applyFill="1" applyBorder="1" applyAlignment="1"/>
    <xf numFmtId="0" fontId="12" fillId="7" borderId="8" xfId="0" applyFont="1" applyFill="1" applyBorder="1" applyAlignment="1"/>
    <xf numFmtId="0" fontId="0" fillId="7" borderId="8" xfId="0" applyFont="1" applyFill="1" applyBorder="1" applyAlignment="1"/>
    <xf numFmtId="0" fontId="2" fillId="3" borderId="4" xfId="0" applyFont="1" applyFill="1" applyBorder="1" applyAlignment="1"/>
    <xf numFmtId="0" fontId="8" fillId="2" borderId="8" xfId="0" applyFont="1" applyFill="1" applyBorder="1" applyAlignment="1"/>
  </cellXfs>
  <cellStyles count="3">
    <cellStyle name="Comma" xfId="1" builtinId="3"/>
    <cellStyle name="Comma 2" xfId="2"/>
    <cellStyle name="Normal" xfId="0" builtinId="0"/>
  </cellStyles>
  <dxfs count="4">
    <dxf>
      <fill>
        <patternFill>
          <bgColor indexed="10"/>
        </patternFill>
      </fill>
    </dxf>
    <dxf>
      <fill>
        <patternFill>
          <bgColor indexed="42"/>
        </patternFill>
      </fill>
    </dxf>
    <dxf>
      <fill>
        <patternFill>
          <bgColor indexed="10"/>
        </patternFill>
      </fill>
    </dxf>
    <dxf>
      <fill>
        <patternFill>
          <bgColor indexed="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E8" sqref="E8"/>
    </sheetView>
  </sheetViews>
  <sheetFormatPr defaultColWidth="8.7109375" defaultRowHeight="12.75" x14ac:dyDescent="0.2"/>
  <cols>
    <col min="1" max="1" width="106.28515625" customWidth="1"/>
  </cols>
  <sheetData>
    <row r="1" spans="1:2" ht="15.75" x14ac:dyDescent="0.2">
      <c r="A1" s="42" t="s">
        <v>74</v>
      </c>
    </row>
    <row r="2" spans="1:2" ht="13.5" thickBot="1" x14ac:dyDescent="0.25">
      <c r="A2" s="43" t="s">
        <v>227</v>
      </c>
    </row>
    <row r="3" spans="1:2" ht="13.5" thickBot="1" x14ac:dyDescent="0.25">
      <c r="A3" s="36"/>
    </row>
    <row r="4" spans="1:2" x14ac:dyDescent="0.2">
      <c r="A4" s="44" t="s">
        <v>66</v>
      </c>
    </row>
    <row r="5" spans="1:2" x14ac:dyDescent="0.2">
      <c r="A5" s="70" t="s">
        <v>122</v>
      </c>
    </row>
    <row r="6" spans="1:2" ht="25.5" customHeight="1" x14ac:dyDescent="0.2">
      <c r="A6" s="70" t="s">
        <v>123</v>
      </c>
    </row>
    <row r="7" spans="1:2" ht="38.25" customHeight="1" x14ac:dyDescent="0.2">
      <c r="A7" s="70" t="s">
        <v>124</v>
      </c>
    </row>
    <row r="8" spans="1:2" ht="13.5" thickBot="1" x14ac:dyDescent="0.25">
      <c r="A8" s="38"/>
    </row>
    <row r="9" spans="1:2" x14ac:dyDescent="0.2">
      <c r="A9" s="66" t="s">
        <v>65</v>
      </c>
    </row>
    <row r="10" spans="1:2" ht="38.25" x14ac:dyDescent="0.2">
      <c r="A10" s="67" t="s">
        <v>125</v>
      </c>
    </row>
    <row r="11" spans="1:2" ht="23.25" customHeight="1" x14ac:dyDescent="0.2">
      <c r="A11" s="67" t="s">
        <v>126</v>
      </c>
    </row>
    <row r="12" spans="1:2" ht="25.5" x14ac:dyDescent="0.2">
      <c r="A12" s="67" t="s">
        <v>153</v>
      </c>
    </row>
    <row r="13" spans="1:2" ht="25.5" x14ac:dyDescent="0.2">
      <c r="A13" s="67" t="s">
        <v>154</v>
      </c>
    </row>
    <row r="14" spans="1:2" ht="26.25" thickBot="1" x14ac:dyDescent="0.25">
      <c r="A14" s="68" t="s">
        <v>127</v>
      </c>
    </row>
    <row r="15" spans="1:2" x14ac:dyDescent="0.2">
      <c r="A15" s="37"/>
    </row>
    <row r="16" spans="1:2" ht="68.25" customHeight="1" x14ac:dyDescent="0.2">
      <c r="A16" s="218" t="s">
        <v>130</v>
      </c>
      <c r="B16" s="218"/>
    </row>
    <row r="17" spans="1:1" x14ac:dyDescent="0.2">
      <c r="A17" s="37"/>
    </row>
  </sheetData>
  <mergeCells count="1">
    <mergeCell ref="A16:B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9"/>
  <sheetViews>
    <sheetView topLeftCell="A10" zoomScale="130" zoomScaleNormal="130" zoomScalePageLayoutView="130" workbookViewId="0">
      <selection activeCell="A17" sqref="A17"/>
    </sheetView>
  </sheetViews>
  <sheetFormatPr defaultColWidth="8.7109375" defaultRowHeight="12.75" x14ac:dyDescent="0.2"/>
  <cols>
    <col min="1" max="1" width="64.28515625" customWidth="1"/>
    <col min="2" max="2" width="15.7109375" style="3" customWidth="1"/>
    <col min="3" max="3" width="15.7109375" customWidth="1"/>
    <col min="4" max="4" width="60.7109375" style="7" customWidth="1"/>
  </cols>
  <sheetData>
    <row r="1" spans="1:4" ht="16.149999999999999" customHeight="1" x14ac:dyDescent="0.25">
      <c r="A1" s="48" t="s">
        <v>74</v>
      </c>
      <c r="B1" s="49"/>
      <c r="C1" s="50"/>
      <c r="D1" s="51"/>
    </row>
    <row r="2" spans="1:4" ht="16.149999999999999" customHeight="1" thickBot="1" x14ac:dyDescent="0.3">
      <c r="A2" s="52" t="s">
        <v>226</v>
      </c>
      <c r="B2" s="53"/>
      <c r="C2" s="54"/>
      <c r="D2" s="55"/>
    </row>
    <row r="3" spans="1:4" ht="12.75" customHeight="1" thickBot="1" x14ac:dyDescent="0.25"/>
    <row r="4" spans="1:4" ht="12.75" customHeight="1" thickBot="1" x14ac:dyDescent="0.25">
      <c r="A4" s="45" t="s">
        <v>50</v>
      </c>
      <c r="B4" s="46"/>
      <c r="C4" s="46"/>
    </row>
    <row r="5" spans="1:4" ht="12.75" hidden="1" customHeight="1" x14ac:dyDescent="0.2"/>
    <row r="6" spans="1:4" ht="13.5" thickBot="1" x14ac:dyDescent="0.25"/>
    <row r="7" spans="1:4" ht="16.149999999999999" customHeight="1" thickBot="1" x14ac:dyDescent="0.25">
      <c r="A7" s="12" t="s">
        <v>46</v>
      </c>
      <c r="B7" s="13" t="s">
        <v>10</v>
      </c>
      <c r="C7" s="13" t="s">
        <v>11</v>
      </c>
      <c r="D7" s="14" t="s">
        <v>9</v>
      </c>
    </row>
    <row r="8" spans="1:4" ht="16.149999999999999" customHeight="1" thickBot="1" x14ac:dyDescent="0.25">
      <c r="A8" s="222" t="s">
        <v>1</v>
      </c>
      <c r="B8" s="223"/>
      <c r="C8" s="223"/>
      <c r="D8" s="224"/>
    </row>
    <row r="9" spans="1:4" ht="12.75" customHeight="1" x14ac:dyDescent="0.2">
      <c r="A9" s="185" t="s">
        <v>197</v>
      </c>
      <c r="B9" s="56">
        <v>1800</v>
      </c>
      <c r="C9" s="21" t="s">
        <v>23</v>
      </c>
      <c r="D9" s="22" t="s">
        <v>71</v>
      </c>
    </row>
    <row r="10" spans="1:4" ht="12.75" customHeight="1" x14ac:dyDescent="0.2">
      <c r="A10" s="16" t="s">
        <v>30</v>
      </c>
      <c r="B10" s="57">
        <v>200</v>
      </c>
      <c r="C10" s="9" t="s">
        <v>31</v>
      </c>
      <c r="D10" s="15" t="s">
        <v>34</v>
      </c>
    </row>
    <row r="11" spans="1:4" ht="12.75" hidden="1" customHeight="1" thickBot="1" x14ac:dyDescent="0.25">
      <c r="A11" s="94" t="s">
        <v>72</v>
      </c>
      <c r="B11" s="95"/>
      <c r="C11" s="96" t="s">
        <v>32</v>
      </c>
      <c r="D11" s="97" t="s">
        <v>33</v>
      </c>
    </row>
    <row r="12" spans="1:4" ht="12.75" customHeight="1" x14ac:dyDescent="0.2">
      <c r="A12" s="189" t="s">
        <v>198</v>
      </c>
      <c r="B12" s="95"/>
      <c r="C12" s="21" t="s">
        <v>23</v>
      </c>
      <c r="D12" s="181"/>
    </row>
    <row r="13" spans="1:4" ht="12.75" customHeight="1" x14ac:dyDescent="0.2">
      <c r="A13" s="189" t="s">
        <v>200</v>
      </c>
      <c r="B13" s="29">
        <f>B9-B12</f>
        <v>1800</v>
      </c>
      <c r="C13" s="21" t="s">
        <v>202</v>
      </c>
      <c r="D13" s="181"/>
    </row>
    <row r="14" spans="1:4" ht="12.75" customHeight="1" x14ac:dyDescent="0.2">
      <c r="A14" s="189" t="s">
        <v>199</v>
      </c>
      <c r="B14" s="95"/>
      <c r="C14" s="9" t="s">
        <v>31</v>
      </c>
      <c r="D14" s="181"/>
    </row>
    <row r="15" spans="1:4" ht="12.75" customHeight="1" x14ac:dyDescent="0.2">
      <c r="A15" s="189" t="s">
        <v>201</v>
      </c>
      <c r="B15" s="29">
        <f>B10-B14</f>
        <v>200</v>
      </c>
      <c r="C15" s="9" t="s">
        <v>31</v>
      </c>
      <c r="D15" s="181"/>
    </row>
    <row r="16" spans="1:4" ht="12.75" customHeight="1" x14ac:dyDescent="0.2">
      <c r="A16" s="182" t="s">
        <v>172</v>
      </c>
      <c r="B16" s="95"/>
      <c r="C16" s="9" t="s">
        <v>23</v>
      </c>
      <c r="D16" s="183"/>
    </row>
    <row r="17" spans="1:9" ht="12.75" customHeight="1" x14ac:dyDescent="0.2">
      <c r="A17" s="184" t="s">
        <v>173</v>
      </c>
      <c r="B17" s="95"/>
      <c r="C17" s="9" t="s">
        <v>174</v>
      </c>
      <c r="D17" s="183"/>
    </row>
    <row r="18" spans="1:9" ht="73.5" customHeight="1" x14ac:dyDescent="0.2">
      <c r="A18" s="98" t="s">
        <v>121</v>
      </c>
      <c r="B18" s="99">
        <v>5</v>
      </c>
      <c r="C18" s="100" t="s">
        <v>120</v>
      </c>
      <c r="D18" s="121" t="s">
        <v>224</v>
      </c>
    </row>
    <row r="19" spans="1:9" ht="16.149999999999999" customHeight="1" thickBot="1" x14ac:dyDescent="0.25">
      <c r="A19" s="225" t="s">
        <v>20</v>
      </c>
      <c r="B19" s="226"/>
      <c r="C19" s="226"/>
      <c r="D19" s="227"/>
    </row>
    <row r="20" spans="1:9" ht="12.75" customHeight="1" x14ac:dyDescent="0.2">
      <c r="A20" s="254" t="s">
        <v>54</v>
      </c>
      <c r="B20" s="208">
        <v>60000</v>
      </c>
      <c r="C20" s="30" t="s">
        <v>55</v>
      </c>
      <c r="D20" s="31" t="s">
        <v>68</v>
      </c>
    </row>
    <row r="21" spans="1:9" ht="12.75" customHeight="1" x14ac:dyDescent="0.2">
      <c r="A21" s="254" t="s">
        <v>56</v>
      </c>
      <c r="B21" s="58">
        <v>30</v>
      </c>
      <c r="C21" s="30" t="s">
        <v>24</v>
      </c>
      <c r="D21" s="31"/>
    </row>
    <row r="22" spans="1:9" ht="12.75" customHeight="1" x14ac:dyDescent="0.2">
      <c r="A22" s="254" t="s">
        <v>43</v>
      </c>
      <c r="B22" s="29">
        <f>IF(B20&gt;0,(3600*B9)/B20,0)</f>
        <v>108</v>
      </c>
      <c r="C22" s="21" t="s">
        <v>24</v>
      </c>
      <c r="D22" s="22"/>
    </row>
    <row r="23" spans="1:9" ht="12.75" customHeight="1" thickBot="1" x14ac:dyDescent="0.25">
      <c r="A23" s="255" t="s">
        <v>57</v>
      </c>
      <c r="B23" s="35">
        <f>IF((B21+B22)&gt;0,B9/(B21+B22),0)</f>
        <v>13.043478260869565</v>
      </c>
      <c r="C23" s="10" t="s">
        <v>44</v>
      </c>
      <c r="D23" s="27" t="s">
        <v>52</v>
      </c>
    </row>
    <row r="24" spans="1:9" ht="16.149999999999999" customHeight="1" thickBot="1" x14ac:dyDescent="0.25">
      <c r="A24" s="225" t="s">
        <v>175</v>
      </c>
      <c r="B24" s="226"/>
      <c r="C24" s="226"/>
      <c r="D24" s="227"/>
    </row>
    <row r="25" spans="1:9" ht="12.75" customHeight="1" x14ac:dyDescent="0.2">
      <c r="A25" s="256" t="s">
        <v>176</v>
      </c>
      <c r="B25" s="58"/>
      <c r="C25" s="186" t="s">
        <v>177</v>
      </c>
      <c r="D25" s="187" t="s">
        <v>178</v>
      </c>
    </row>
    <row r="26" spans="1:9" ht="12.75" customHeight="1" x14ac:dyDescent="0.2">
      <c r="A26" s="256" t="s">
        <v>179</v>
      </c>
      <c r="B26" s="58"/>
      <c r="C26" s="30" t="s">
        <v>24</v>
      </c>
      <c r="D26" s="31"/>
    </row>
    <row r="27" spans="1:9" ht="12.75" customHeight="1" x14ac:dyDescent="0.2">
      <c r="A27" s="256" t="s">
        <v>180</v>
      </c>
      <c r="B27" s="29">
        <v>1800</v>
      </c>
      <c r="C27" s="21" t="s">
        <v>24</v>
      </c>
      <c r="D27" s="22"/>
    </row>
    <row r="28" spans="1:9" ht="12.75" customHeight="1" thickBot="1" x14ac:dyDescent="0.25">
      <c r="A28" s="257" t="s">
        <v>181</v>
      </c>
      <c r="B28" s="35">
        <f>IF((B26+B27)&gt;0,B18/(B26+B27),0)</f>
        <v>2.7777777777777779E-3</v>
      </c>
      <c r="C28" s="10" t="s">
        <v>44</v>
      </c>
      <c r="D28" s="27" t="s">
        <v>182</v>
      </c>
    </row>
    <row r="29" spans="1:9" ht="16.149999999999999" customHeight="1" thickBot="1" x14ac:dyDescent="0.25">
      <c r="A29" s="222" t="s">
        <v>39</v>
      </c>
      <c r="B29" s="223"/>
      <c r="C29" s="223"/>
      <c r="D29" s="224"/>
      <c r="H29" s="64"/>
      <c r="I29" s="64"/>
    </row>
    <row r="30" spans="1:9" ht="12.75" customHeight="1" x14ac:dyDescent="0.2">
      <c r="A30" s="258" t="s">
        <v>2</v>
      </c>
      <c r="B30" s="210">
        <v>0.3</v>
      </c>
      <c r="C30" s="21" t="s">
        <v>35</v>
      </c>
      <c r="D30" s="228" t="s">
        <v>36</v>
      </c>
      <c r="H30" s="64"/>
      <c r="I30" s="64"/>
    </row>
    <row r="31" spans="1:9" ht="12.75" customHeight="1" x14ac:dyDescent="0.2">
      <c r="A31" s="259" t="s">
        <v>3</v>
      </c>
      <c r="B31" s="211">
        <v>0.3</v>
      </c>
      <c r="C31" s="9" t="s">
        <v>35</v>
      </c>
      <c r="D31" s="228"/>
      <c r="H31" s="64"/>
      <c r="I31" s="64"/>
    </row>
    <row r="32" spans="1:9" ht="12.75" hidden="1" customHeight="1" x14ac:dyDescent="0.2">
      <c r="A32" s="71" t="s">
        <v>73</v>
      </c>
      <c r="B32" s="212">
        <v>0</v>
      </c>
      <c r="C32" s="73" t="s">
        <v>35</v>
      </c>
      <c r="D32" s="229" t="s">
        <v>37</v>
      </c>
      <c r="H32" s="64"/>
      <c r="I32" s="64"/>
    </row>
    <row r="33" spans="1:9" ht="12.75" customHeight="1" x14ac:dyDescent="0.2">
      <c r="A33" s="259" t="s">
        <v>4</v>
      </c>
      <c r="B33" s="211">
        <v>0.1</v>
      </c>
      <c r="C33" s="28" t="s">
        <v>35</v>
      </c>
      <c r="D33" s="230"/>
      <c r="H33" s="64"/>
      <c r="I33" s="64"/>
    </row>
    <row r="34" spans="1:9" ht="12.75" customHeight="1" x14ac:dyDescent="0.2">
      <c r="A34" s="260" t="s">
        <v>147</v>
      </c>
      <c r="B34" s="211">
        <v>0.2</v>
      </c>
      <c r="C34" s="28" t="s">
        <v>35</v>
      </c>
      <c r="D34" s="123"/>
      <c r="H34" s="64"/>
      <c r="I34" s="64"/>
    </row>
    <row r="35" spans="1:9" ht="12.75" customHeight="1" x14ac:dyDescent="0.2">
      <c r="A35" s="259" t="s">
        <v>5</v>
      </c>
      <c r="B35" s="211">
        <v>0.1</v>
      </c>
      <c r="C35" s="9" t="s">
        <v>35</v>
      </c>
      <c r="D35" s="22" t="s">
        <v>38</v>
      </c>
      <c r="H35" s="64"/>
      <c r="I35" s="64"/>
    </row>
    <row r="36" spans="1:9" ht="12.75" customHeight="1" x14ac:dyDescent="0.2">
      <c r="A36" s="90" t="s">
        <v>6</v>
      </c>
      <c r="B36" s="213">
        <v>0.99999999999999989</v>
      </c>
      <c r="C36" s="9" t="s">
        <v>35</v>
      </c>
      <c r="D36" s="89" t="s">
        <v>40</v>
      </c>
      <c r="H36" s="64"/>
      <c r="I36" s="64"/>
    </row>
    <row r="37" spans="1:9" ht="12.75" customHeight="1" x14ac:dyDescent="0.2">
      <c r="A37" s="254" t="s">
        <v>112</v>
      </c>
      <c r="B37" s="210">
        <v>0.1</v>
      </c>
      <c r="C37" s="21" t="s">
        <v>35</v>
      </c>
      <c r="D37" s="22"/>
      <c r="H37" s="64"/>
      <c r="I37" s="64"/>
    </row>
    <row r="38" spans="1:9" ht="12.75" customHeight="1" x14ac:dyDescent="0.2">
      <c r="A38" s="254" t="s">
        <v>145</v>
      </c>
      <c r="B38" s="210">
        <v>0.05</v>
      </c>
      <c r="C38" s="21" t="s">
        <v>35</v>
      </c>
      <c r="D38" s="134" t="s">
        <v>149</v>
      </c>
      <c r="H38" s="64"/>
      <c r="I38" s="64"/>
    </row>
    <row r="39" spans="1:9" ht="12.75" customHeight="1" thickBot="1" x14ac:dyDescent="0.25">
      <c r="A39" s="254" t="s">
        <v>146</v>
      </c>
      <c r="B39" s="210">
        <v>0.05</v>
      </c>
      <c r="C39" s="21" t="s">
        <v>35</v>
      </c>
      <c r="D39" s="134" t="s">
        <v>150</v>
      </c>
      <c r="H39" s="64"/>
      <c r="I39" s="64"/>
    </row>
    <row r="40" spans="1:9" ht="16.899999999999999" customHeight="1" thickBot="1" x14ac:dyDescent="0.25">
      <c r="A40" s="222" t="s">
        <v>183</v>
      </c>
      <c r="B40" s="223"/>
      <c r="C40" s="223"/>
      <c r="D40" s="224"/>
      <c r="H40" s="64"/>
      <c r="I40" s="64"/>
    </row>
    <row r="41" spans="1:9" ht="12.75" customHeight="1" x14ac:dyDescent="0.2">
      <c r="A41" s="261" t="s">
        <v>184</v>
      </c>
      <c r="B41" s="59">
        <v>0.2</v>
      </c>
      <c r="C41" s="21" t="s">
        <v>35</v>
      </c>
      <c r="D41" s="228" t="s">
        <v>186</v>
      </c>
      <c r="H41" s="64"/>
      <c r="I41" s="64"/>
    </row>
    <row r="42" spans="1:9" ht="12.75" customHeight="1" x14ac:dyDescent="0.2">
      <c r="A42" s="262" t="s">
        <v>185</v>
      </c>
      <c r="B42" s="60">
        <v>0.28999999999999998</v>
      </c>
      <c r="C42" s="9" t="s">
        <v>35</v>
      </c>
      <c r="D42" s="228"/>
      <c r="H42" s="64"/>
      <c r="I42" s="64"/>
    </row>
    <row r="43" spans="1:9" ht="12.75" customHeight="1" x14ac:dyDescent="0.2">
      <c r="A43" s="262" t="s">
        <v>207</v>
      </c>
      <c r="B43" s="60">
        <v>0.2</v>
      </c>
      <c r="C43" s="28"/>
      <c r="D43" s="190"/>
      <c r="H43" s="64"/>
      <c r="I43" s="64"/>
    </row>
    <row r="44" spans="1:9" ht="12.75" customHeight="1" x14ac:dyDescent="0.2">
      <c r="A44" s="262" t="s">
        <v>188</v>
      </c>
      <c r="B44" s="72">
        <v>0.31</v>
      </c>
      <c r="C44" s="188" t="s">
        <v>35</v>
      </c>
      <c r="D44" s="170"/>
      <c r="H44" s="64"/>
      <c r="I44" s="64"/>
    </row>
    <row r="45" spans="1:9" ht="12.75" customHeight="1" thickBot="1" x14ac:dyDescent="0.25">
      <c r="A45" s="90" t="s">
        <v>6</v>
      </c>
      <c r="B45" s="88">
        <f>SUM(B41:B44)</f>
        <v>1</v>
      </c>
      <c r="C45" s="9" t="s">
        <v>35</v>
      </c>
      <c r="D45" s="89" t="s">
        <v>187</v>
      </c>
      <c r="H45" s="64"/>
      <c r="I45" s="64"/>
    </row>
    <row r="46" spans="1:9" ht="16.149999999999999" customHeight="1" thickBot="1" x14ac:dyDescent="0.25">
      <c r="A46" s="222" t="s">
        <v>75</v>
      </c>
      <c r="B46" s="223"/>
      <c r="C46" s="223"/>
      <c r="D46" s="224"/>
      <c r="H46" s="64"/>
      <c r="I46" s="64"/>
    </row>
    <row r="47" spans="1:9" ht="12.75" hidden="1" customHeight="1" x14ac:dyDescent="0.2">
      <c r="A47" s="82" t="s">
        <v>86</v>
      </c>
      <c r="B47" s="83">
        <v>5</v>
      </c>
      <c r="C47" s="84" t="s">
        <v>8</v>
      </c>
      <c r="D47" s="85" t="s">
        <v>49</v>
      </c>
      <c r="H47" s="64"/>
      <c r="I47" s="64"/>
    </row>
    <row r="48" spans="1:9" ht="12.75" customHeight="1" x14ac:dyDescent="0.2">
      <c r="A48" s="18" t="s">
        <v>84</v>
      </c>
      <c r="B48" s="211">
        <v>0.3</v>
      </c>
      <c r="C48" s="18" t="s">
        <v>23</v>
      </c>
      <c r="D48" s="81" t="s">
        <v>118</v>
      </c>
      <c r="H48" s="64"/>
      <c r="I48" s="64"/>
    </row>
    <row r="49" spans="1:9" ht="12.75" customHeight="1" thickBot="1" x14ac:dyDescent="0.25">
      <c r="A49" s="263" t="s">
        <v>69</v>
      </c>
      <c r="B49" s="209">
        <v>1</v>
      </c>
      <c r="C49" s="20" t="s">
        <v>8</v>
      </c>
      <c r="D49" s="86" t="s">
        <v>117</v>
      </c>
      <c r="H49" s="64"/>
      <c r="I49" s="64"/>
    </row>
    <row r="50" spans="1:9" ht="12.75" hidden="1" customHeight="1" x14ac:dyDescent="0.2">
      <c r="A50" s="231" t="s">
        <v>80</v>
      </c>
      <c r="B50" s="232"/>
      <c r="C50" s="232"/>
      <c r="D50" s="233"/>
      <c r="H50" s="64"/>
      <c r="I50" s="64"/>
    </row>
    <row r="51" spans="1:9" ht="12.75" hidden="1" customHeight="1" x14ac:dyDescent="0.2">
      <c r="A51" s="74" t="s">
        <v>76</v>
      </c>
      <c r="B51" s="75">
        <v>17</v>
      </c>
      <c r="C51" s="76" t="s">
        <v>25</v>
      </c>
      <c r="D51" s="77" t="s">
        <v>67</v>
      </c>
      <c r="H51" s="64"/>
      <c r="I51" s="64"/>
    </row>
    <row r="52" spans="1:9" ht="12.75" hidden="1" customHeight="1" x14ac:dyDescent="0.2">
      <c r="A52" s="74" t="s">
        <v>77</v>
      </c>
      <c r="B52" s="75">
        <v>10</v>
      </c>
      <c r="C52" s="76" t="s">
        <v>24</v>
      </c>
      <c r="D52" s="78" t="s">
        <v>41</v>
      </c>
      <c r="H52" s="64"/>
      <c r="I52" s="64"/>
    </row>
    <row r="53" spans="1:9" ht="12.75" hidden="1" customHeight="1" x14ac:dyDescent="0.2">
      <c r="A53" s="234" t="s">
        <v>81</v>
      </c>
      <c r="B53" s="235"/>
      <c r="C53" s="235"/>
      <c r="D53" s="236"/>
      <c r="H53" s="64"/>
      <c r="I53" s="64"/>
    </row>
    <row r="54" spans="1:9" ht="12.75" hidden="1" customHeight="1" x14ac:dyDescent="0.2">
      <c r="A54" s="74" t="s">
        <v>78</v>
      </c>
      <c r="B54" s="75">
        <v>6</v>
      </c>
      <c r="C54" s="76" t="s">
        <v>25</v>
      </c>
      <c r="D54" s="77" t="s">
        <v>29</v>
      </c>
      <c r="H54" s="64"/>
      <c r="I54" s="64"/>
    </row>
    <row r="55" spans="1:9" ht="12.75" hidden="1" customHeight="1" x14ac:dyDescent="0.2">
      <c r="A55" s="74" t="s">
        <v>79</v>
      </c>
      <c r="B55" s="75" t="e">
        <f>Average_Call_Duration_v801</f>
        <v>#NAME?</v>
      </c>
      <c r="C55" s="76" t="s">
        <v>24</v>
      </c>
      <c r="D55" s="77" t="s">
        <v>45</v>
      </c>
      <c r="H55" s="64"/>
      <c r="I55" s="64"/>
    </row>
    <row r="56" spans="1:9" ht="12.75" customHeight="1" thickBot="1" x14ac:dyDescent="0.25">
      <c r="A56" s="263" t="s">
        <v>151</v>
      </c>
      <c r="B56" s="61">
        <v>3000</v>
      </c>
      <c r="C56" s="20" t="s">
        <v>8</v>
      </c>
      <c r="D56" s="86"/>
      <c r="H56" s="64"/>
      <c r="I56" s="64"/>
    </row>
    <row r="57" spans="1:9" ht="12.75" customHeight="1" x14ac:dyDescent="0.2">
      <c r="A57" s="219" t="s">
        <v>21</v>
      </c>
      <c r="B57" s="220"/>
      <c r="C57" s="220"/>
      <c r="D57" s="221"/>
      <c r="H57" s="64"/>
      <c r="I57" s="64"/>
    </row>
    <row r="58" spans="1:9" ht="12.75" customHeight="1" x14ac:dyDescent="0.2">
      <c r="A58" s="259" t="s">
        <v>19</v>
      </c>
      <c r="B58" s="57">
        <v>1</v>
      </c>
      <c r="C58" s="18" t="s">
        <v>12</v>
      </c>
      <c r="D58" s="15" t="s">
        <v>47</v>
      </c>
      <c r="H58" s="64"/>
      <c r="I58" s="64"/>
    </row>
    <row r="59" spans="1:9" ht="12.75" customHeight="1" x14ac:dyDescent="0.2">
      <c r="A59" s="259" t="s">
        <v>48</v>
      </c>
      <c r="B59" s="57">
        <v>640</v>
      </c>
      <c r="C59" s="18" t="s">
        <v>13</v>
      </c>
      <c r="D59" s="15" t="s">
        <v>51</v>
      </c>
      <c r="H59" s="64"/>
      <c r="I59" s="64"/>
    </row>
    <row r="60" spans="1:9" ht="12.75" customHeight="1" x14ac:dyDescent="0.2">
      <c r="A60" s="259" t="s">
        <v>58</v>
      </c>
      <c r="B60" s="57">
        <v>1970</v>
      </c>
      <c r="C60" s="18" t="s">
        <v>13</v>
      </c>
      <c r="D60" s="15" t="s">
        <v>53</v>
      </c>
      <c r="H60" s="64"/>
      <c r="I60" s="64"/>
    </row>
    <row r="61" spans="1:9" ht="12.75" customHeight="1" x14ac:dyDescent="0.2">
      <c r="A61" s="219" t="s">
        <v>22</v>
      </c>
      <c r="B61" s="220"/>
      <c r="C61" s="220"/>
      <c r="D61" s="221"/>
      <c r="H61" s="64"/>
      <c r="I61" s="64"/>
    </row>
    <row r="62" spans="1:9" ht="12.75" customHeight="1" thickBot="1" x14ac:dyDescent="0.25">
      <c r="A62" s="255" t="s">
        <v>144</v>
      </c>
      <c r="B62" s="47">
        <v>2</v>
      </c>
      <c r="C62" s="18" t="s">
        <v>12</v>
      </c>
      <c r="D62" s="133" t="s">
        <v>143</v>
      </c>
      <c r="H62" s="64"/>
      <c r="I62" s="64"/>
    </row>
    <row r="63" spans="1:9" ht="12.75" customHeight="1" thickBot="1" x14ac:dyDescent="0.25">
      <c r="A63" s="264" t="s">
        <v>59</v>
      </c>
      <c r="B63" s="47">
        <v>100</v>
      </c>
      <c r="C63" s="19" t="s">
        <v>13</v>
      </c>
      <c r="D63" s="11" t="s">
        <v>70</v>
      </c>
      <c r="H63" s="64"/>
      <c r="I63" s="64"/>
    </row>
    <row r="64" spans="1:9" ht="12.75" customHeight="1" x14ac:dyDescent="0.2">
      <c r="A64" s="101"/>
      <c r="B64" s="102"/>
      <c r="C64" s="103"/>
      <c r="D64" s="104"/>
      <c r="F64" s="64"/>
      <c r="H64" s="64"/>
      <c r="I64" s="64"/>
    </row>
    <row r="65" spans="1:9" ht="26.25" customHeight="1" x14ac:dyDescent="0.25">
      <c r="A65" s="91" t="s">
        <v>205</v>
      </c>
      <c r="B65" s="92"/>
      <c r="C65" s="91"/>
      <c r="D65" s="93"/>
      <c r="F65" s="64"/>
    </row>
    <row r="66" spans="1:9" ht="12.75" customHeight="1" x14ac:dyDescent="0.2">
      <c r="A66" s="265" t="s">
        <v>189</v>
      </c>
      <c r="B66" s="105">
        <f>(((Number_of_nonSSO_agents*'BW Data'!E5)+(Number_of_SSO_agents*'BW Data'!E9))/(Max_Login_Time_All_Agents*60))*kbps*Bandwidth_Confidence_Factor</f>
        <v>192587.3664</v>
      </c>
      <c r="C66" s="6" t="s">
        <v>7</v>
      </c>
      <c r="D66" s="69"/>
      <c r="F66" s="64"/>
      <c r="H66" s="64"/>
      <c r="I66" s="64"/>
    </row>
    <row r="67" spans="1:9" ht="12.75" customHeight="1" x14ac:dyDescent="0.2">
      <c r="A67" s="265" t="s">
        <v>190</v>
      </c>
      <c r="B67" s="105">
        <f>(((Number_of_nonSSO_agents*'BW Data'!E6)+(Number_of_SSO_agents*'BW Data'!E10))/(Max_Login_Time_All_Agents*60))*kbps*Bandwidth_Confidence_Factor</f>
        <v>15527.1168</v>
      </c>
      <c r="C67" s="6" t="s">
        <v>7</v>
      </c>
      <c r="D67" s="89"/>
      <c r="F67" s="64"/>
      <c r="H67" s="106"/>
      <c r="I67" s="64"/>
    </row>
    <row r="68" spans="1:9" ht="12.75" customHeight="1" x14ac:dyDescent="0.2">
      <c r="A68" s="265" t="s">
        <v>191</v>
      </c>
      <c r="B68" s="105">
        <f>(((Number_of_nonSSO_supervisors*'BW Data'!E7)+(Number_of_SSO_supervisors*'BW Data'!E11))/(Max_Login_Time_All_Agents*60))*kbps*Bandwidth_Confidence_Factor</f>
        <v>23109.632000000001</v>
      </c>
      <c r="C68" s="6" t="s">
        <v>7</v>
      </c>
      <c r="D68" s="89"/>
      <c r="F68" s="64"/>
      <c r="H68" s="106"/>
      <c r="I68" s="64"/>
    </row>
    <row r="69" spans="1:9" ht="12.75" customHeight="1" thickBot="1" x14ac:dyDescent="0.25">
      <c r="A69" s="265" t="s">
        <v>192</v>
      </c>
      <c r="B69" s="105">
        <f>(((Number_of_nonSSO_supervisors*'BW Data'!E8)+(Number_of_SSO_supervisors*'BW Data'!E12))/(Max_Login_Time_All_Agents*60))*kbps*Bandwidth_Confidence_Factor</f>
        <v>2058.9226666666668</v>
      </c>
      <c r="C69" s="6" t="s">
        <v>7</v>
      </c>
      <c r="D69" s="89"/>
      <c r="F69" s="64"/>
      <c r="H69" s="64"/>
      <c r="I69" s="64"/>
    </row>
    <row r="70" spans="1:9" s="17" customFormat="1" ht="16.149999999999999" customHeight="1" thickBot="1" x14ac:dyDescent="0.3">
      <c r="A70" s="253" t="s">
        <v>193</v>
      </c>
      <c r="B70" s="107">
        <f>B66+B68+('BW Data'!E63)</f>
        <v>216118.99840000001</v>
      </c>
      <c r="C70" s="40" t="s">
        <v>7</v>
      </c>
      <c r="D70" s="41"/>
      <c r="F70" s="64"/>
      <c r="H70" s="65"/>
      <c r="I70" s="65"/>
    </row>
    <row r="71" spans="1:9" s="17" customFormat="1" ht="16.149999999999999" customHeight="1" thickBot="1" x14ac:dyDescent="0.3">
      <c r="A71" s="253" t="s">
        <v>194</v>
      </c>
      <c r="B71" s="107">
        <f>B67+B69+('BW Data'!E63)</f>
        <v>18008.039466666665</v>
      </c>
      <c r="C71" s="40" t="s">
        <v>7</v>
      </c>
      <c r="D71" s="41"/>
      <c r="F71" s="64"/>
      <c r="H71" s="65"/>
      <c r="I71" s="65"/>
    </row>
    <row r="72" spans="1:9" s="17" customFormat="1" ht="16.149999999999999" customHeight="1" x14ac:dyDescent="0.25">
      <c r="A72" s="91" t="s">
        <v>206</v>
      </c>
      <c r="B72" s="92"/>
      <c r="C72" s="91"/>
      <c r="D72" s="93"/>
      <c r="F72" s="64"/>
      <c r="H72" s="65"/>
      <c r="I72" s="65"/>
    </row>
    <row r="73" spans="1:9" s="17" customFormat="1" ht="12" customHeight="1" x14ac:dyDescent="0.2">
      <c r="A73" s="266" t="s">
        <v>195</v>
      </c>
      <c r="B73" s="191">
        <f>((Number_of_mc_agents*'BW Data'!E13*Number_of_Non_Voice_MRDs)/(Max_Login_Time_All_Agents*60))*kbps*Bandwidth_Confidence_Factor</f>
        <v>0</v>
      </c>
      <c r="C73" s="192" t="s">
        <v>7</v>
      </c>
      <c r="D73" s="193"/>
      <c r="F73" s="64"/>
      <c r="H73" s="65"/>
      <c r="I73" s="65"/>
    </row>
    <row r="74" spans="1:9" s="17" customFormat="1" ht="13.9" customHeight="1" thickBot="1" x14ac:dyDescent="0.25">
      <c r="A74" s="266" t="s">
        <v>196</v>
      </c>
      <c r="B74" s="191">
        <f>((Number_of_nonSSO_agents*'BW Data'!E14*Number_of_Non_Voice_MRDs)/(Max_Login_Time_All_Agents*60))*kbps*Bandwidth_Confidence_Factor</f>
        <v>0</v>
      </c>
      <c r="C74" s="192" t="s">
        <v>7</v>
      </c>
      <c r="D74" s="194"/>
      <c r="F74" s="64"/>
      <c r="H74" s="65"/>
      <c r="I74" s="65"/>
    </row>
    <row r="75" spans="1:9" s="17" customFormat="1" ht="16.149999999999999" customHeight="1" thickBot="1" x14ac:dyDescent="0.3">
      <c r="A75" s="253" t="s">
        <v>203</v>
      </c>
      <c r="B75" s="107">
        <f>B73</f>
        <v>0</v>
      </c>
      <c r="C75" s="40" t="s">
        <v>7</v>
      </c>
      <c r="D75" s="41"/>
      <c r="F75" s="64"/>
      <c r="H75" s="65"/>
      <c r="I75" s="65"/>
    </row>
    <row r="76" spans="1:9" s="17" customFormat="1" ht="16.149999999999999" customHeight="1" thickBot="1" x14ac:dyDescent="0.3">
      <c r="A76" s="253" t="s">
        <v>204</v>
      </c>
      <c r="B76" s="107">
        <f>B74</f>
        <v>0</v>
      </c>
      <c r="C76" s="40" t="s">
        <v>7</v>
      </c>
      <c r="D76" s="41"/>
      <c r="F76" s="64"/>
      <c r="H76" s="65"/>
      <c r="I76" s="65"/>
    </row>
    <row r="77" spans="1:9" ht="12.75" customHeight="1" x14ac:dyDescent="0.2">
      <c r="A77" s="2"/>
      <c r="C77" s="4"/>
      <c r="F77" s="64"/>
      <c r="H77" s="64"/>
      <c r="I77" s="64"/>
    </row>
    <row r="78" spans="1:9" ht="22.5" customHeight="1" thickBot="1" x14ac:dyDescent="0.3">
      <c r="A78" s="91" t="s">
        <v>137</v>
      </c>
      <c r="B78" s="92"/>
      <c r="C78" s="91"/>
      <c r="D78" s="93"/>
      <c r="F78" s="64"/>
    </row>
    <row r="79" spans="1:9" s="17" customFormat="1" ht="16.149999999999999" customHeight="1" thickBot="1" x14ac:dyDescent="0.3">
      <c r="A79" s="237" t="s">
        <v>82</v>
      </c>
      <c r="B79" s="238"/>
      <c r="C79" s="238"/>
      <c r="D79" s="239"/>
      <c r="H79" s="65"/>
      <c r="I79" s="65"/>
    </row>
    <row r="80" spans="1:9" ht="12.75" customHeight="1" x14ac:dyDescent="0.2">
      <c r="A80" s="219" t="s">
        <v>114</v>
      </c>
      <c r="B80" s="220"/>
      <c r="C80" s="220"/>
      <c r="D80" s="221"/>
      <c r="H80" s="64"/>
      <c r="I80" s="64"/>
    </row>
    <row r="81" spans="1:9" ht="12.75" customHeight="1" x14ac:dyDescent="0.2">
      <c r="A81" s="267" t="s">
        <v>85</v>
      </c>
      <c r="B81" s="23">
        <f>((('BW Data'!E18+('BW Data'!E19*Average_number_of_Skill_Groups_per_Supervisor))*Number_of_Supervisors)/Skill_Group_Refresh_Rate)*kbps*Bandwidth_Confidence_Factor_v9</f>
        <v>319.488</v>
      </c>
      <c r="C81" s="24" t="s">
        <v>7</v>
      </c>
      <c r="D81" s="25">
        <f>IF(B$107&gt;0,B81/B$107,0)</f>
        <v>2.3784394763442164E-2</v>
      </c>
      <c r="H81" s="64"/>
      <c r="I81" s="64"/>
    </row>
    <row r="82" spans="1:9" ht="12.75" customHeight="1" x14ac:dyDescent="0.2">
      <c r="A82" s="268" t="s">
        <v>87</v>
      </c>
      <c r="B82" s="8">
        <f>(IF(Agent_Task_Wrap_Up_Time&gt;0,Avg_agent_state_Changes_Per_Task_Wrap,Avg_Agent_State_Changes_Per_Task_NoWrap)*'BW Data'!E42*(Average_number_of_agents_per_Team/(Agent_Task_Wrap_Up_Time+Average_Task_Duration))*Number_of_Supervisors*kbps*Bandwidth_Confidence_Factor_v9)</f>
        <v>5.1590933333333338</v>
      </c>
      <c r="C82" s="6" t="s">
        <v>7</v>
      </c>
      <c r="D82" s="25">
        <f>IF(B$107&gt;0,B82/B$107,0)</f>
        <v>3.8407048922476815E-4</v>
      </c>
      <c r="H82" s="64"/>
      <c r="I82" s="64"/>
    </row>
    <row r="83" spans="1:9" ht="12.75" customHeight="1" x14ac:dyDescent="0.2">
      <c r="A83" s="268" t="s">
        <v>140</v>
      </c>
      <c r="B83" s="8">
        <f>IF(Number_of_Supervisors&gt;0,((Calls_Per_Second * Percentage_of_BargedCalls) * 'BW Data'!E43) * kbps * Bandwidth_Confidence_Factor_v9,0)</f>
        <v>285.22904347826091</v>
      </c>
      <c r="C83" s="6" t="s">
        <v>7</v>
      </c>
      <c r="D83" s="25">
        <f>IF(B$107&gt;0,B83/B$107,0)</f>
        <v>2.1233974885084779E-2</v>
      </c>
      <c r="H83" s="64"/>
      <c r="I83" s="64"/>
    </row>
    <row r="84" spans="1:9" ht="12.75" customHeight="1" x14ac:dyDescent="0.2">
      <c r="A84" s="268" t="s">
        <v>141</v>
      </c>
      <c r="B84" s="8">
        <f>IF(Number_of_Supervisors&gt;0,((Calls_Per_Second * Percentage_of_InterceptedCalls) * 'BW Data'!E44) * kbps * Bandwidth_Confidence_Factor_v9,0)</f>
        <v>90.127304347826097</v>
      </c>
      <c r="C84" s="6" t="s">
        <v>7</v>
      </c>
      <c r="D84" s="25">
        <f>IF(B$107&gt;0,B84/B$107,0)</f>
        <v>6.7095583733147827E-3</v>
      </c>
      <c r="H84" s="64"/>
      <c r="I84" s="64"/>
    </row>
    <row r="85" spans="1:9" ht="12.75" customHeight="1" x14ac:dyDescent="0.2">
      <c r="A85" s="268" t="s">
        <v>113</v>
      </c>
      <c r="B85" s="8">
        <f>IF(Number_of_Supervisors&gt;0,((Calls_Per_Second * Percentage_Calls_Silently_Monitored) * 'BW Data'!E41) * kbps * Bandwidth_Confidence_Factor_v9,0)</f>
        <v>362.32695652173919</v>
      </c>
      <c r="C85" s="6" t="s">
        <v>7</v>
      </c>
      <c r="D85" s="25">
        <f>IF(B$107&gt;0,B85/B$107,0)</f>
        <v>2.6973555712106842E-2</v>
      </c>
      <c r="F85" s="64"/>
      <c r="H85" s="64"/>
      <c r="I85" s="64"/>
    </row>
    <row r="86" spans="1:9" ht="12.75" customHeight="1" x14ac:dyDescent="0.2">
      <c r="A86" s="219" t="s">
        <v>115</v>
      </c>
      <c r="B86" s="220"/>
      <c r="C86" s="220"/>
      <c r="D86" s="221"/>
      <c r="F86" s="64"/>
      <c r="H86" s="64"/>
      <c r="I86" s="64"/>
    </row>
    <row r="87" spans="1:9" ht="12.75" customHeight="1" x14ac:dyDescent="0.2">
      <c r="A87" s="269" t="s">
        <v>28</v>
      </c>
      <c r="B87" s="8">
        <f>(((Calls_Per_Second*Percentage_of_Incoming_Straight_Calls) * 'BW Data'!E21) + ((Calls_Per_Second*Percentage_of_Outgoing_Straight_Calls) * 'BW Data'!E22)) * kbps * Bandwidth_Confidence_Factor_v9</f>
        <v>3031.7446956521735</v>
      </c>
      <c r="C87" s="6" t="s">
        <v>7</v>
      </c>
      <c r="D87" s="25">
        <f t="shared" ref="D87:D106" si="0">IF(B$107&gt;0,B87/B$107,0)</f>
        <v>0.22569928342649212</v>
      </c>
      <c r="F87" s="64"/>
      <c r="H87" s="64"/>
      <c r="I87" s="64"/>
    </row>
    <row r="88" spans="1:9" ht="12.75" customHeight="1" x14ac:dyDescent="0.2">
      <c r="A88" s="270" t="s">
        <v>152</v>
      </c>
      <c r="B88" s="143">
        <f>((Calls_Per_Second*Percentage_of_SingleStep_Transfer_Calls)*'BW Data'!E25*kbps*Bandwidth_Confidence_Factor_v9)</f>
        <v>2410.2406956521741</v>
      </c>
      <c r="C88" s="144" t="s">
        <v>7</v>
      </c>
      <c r="D88" s="145">
        <f t="shared" si="0"/>
        <v>0.17943120298823359</v>
      </c>
      <c r="F88" s="64"/>
      <c r="H88" s="64"/>
      <c r="I88" s="64"/>
    </row>
    <row r="89" spans="1:9" ht="12.75" customHeight="1" x14ac:dyDescent="0.2">
      <c r="A89" s="269" t="s">
        <v>26</v>
      </c>
      <c r="B89" s="8">
        <f>((Calls_Per_Second * Percentage_of_Consultative_Transfer_Calls) * 'BW Data'!E23) * kbps * Bandwidth_Confidence_Factor_v9</f>
        <v>1175.3853913043479</v>
      </c>
      <c r="C89" s="6" t="s">
        <v>7</v>
      </c>
      <c r="D89" s="25">
        <f t="shared" si="0"/>
        <v>8.7501972361921421E-2</v>
      </c>
      <c r="F89" s="64"/>
      <c r="H89" s="64"/>
      <c r="I89" s="64"/>
    </row>
    <row r="90" spans="1:9" ht="12.75" customHeight="1" x14ac:dyDescent="0.2">
      <c r="A90" s="269" t="s">
        <v>27</v>
      </c>
      <c r="B90" s="8">
        <f>((Calls_Per_Second* Percentage_of_Consultative_Conference_Calls) * 'BW Data'!E24) * kbps * Bandwidth_Confidence_Factor_v9</f>
        <v>1476.7095652173914</v>
      </c>
      <c r="C90" s="6" t="s">
        <v>7</v>
      </c>
      <c r="D90" s="25">
        <f t="shared" si="0"/>
        <v>0.10993415480419133</v>
      </c>
      <c r="F90" s="64"/>
      <c r="H90" s="64"/>
      <c r="I90" s="64"/>
    </row>
    <row r="91" spans="1:9" ht="12.75" customHeight="1" x14ac:dyDescent="0.2">
      <c r="A91" s="268" t="s">
        <v>93</v>
      </c>
      <c r="B91" s="8">
        <f>IF(Agent_Call_Wrap_Up_Time&gt;0,Calls_Per_Second*'BW Data'!E26 * kbps * Bandwidth_Confidence_Factor_v9,0)</f>
        <v>2069.7808695652175</v>
      </c>
      <c r="C91" s="87" t="s">
        <v>7</v>
      </c>
      <c r="D91" s="25">
        <f t="shared" si="0"/>
        <v>0.15408555337151858</v>
      </c>
      <c r="F91" s="64"/>
      <c r="H91" s="64"/>
      <c r="I91" s="64"/>
    </row>
    <row r="92" spans="1:9" ht="12.75" customHeight="1" x14ac:dyDescent="0.2">
      <c r="A92" s="268" t="s">
        <v>109</v>
      </c>
      <c r="B92" s="8">
        <f>IF(Number_of_Configured_ECC_variables&gt;0,(Sum_of_all_ECC_Variable_Values+Sum_of_all_ECC_Variable_Names+(Number_of_Configured_ECC_variables*'BW Data'!E36))*Avg_Number_Dialog_Events_Per_IncomingCall*Percentage_of_Incoming_Straight_Calls*Calls_Per_Second*kbps*Bandwidth_Confidence_Factor_v9,0)</f>
        <v>318.64695652173913</v>
      </c>
      <c r="C92" s="6" t="s">
        <v>7</v>
      </c>
      <c r="D92" s="25">
        <f t="shared" si="0"/>
        <v>2.3721782990542478E-2</v>
      </c>
      <c r="F92" s="64"/>
      <c r="H92" s="64"/>
      <c r="I92" s="64"/>
    </row>
    <row r="93" spans="1:9" ht="12.75" customHeight="1" x14ac:dyDescent="0.2">
      <c r="A93" s="268" t="s">
        <v>116</v>
      </c>
      <c r="B93" s="8">
        <f>IF(Number_of_Configured_ECC_variables&gt;0,(Sum_of_all_ECC_Variable_Values+Sum_of_all_ECC_Variable_Names+(Number_of_Configured_ECC_variables*'BW Data'!E36))*Avg_Number_Dialog_Events_Per_OutCall*Percentage_of_Outgoing_Straight_Calls*Calls_Per_Second*kbps*Bandwidth_Confidence_Factor_v9,0)</f>
        <v>849.72521739130423</v>
      </c>
      <c r="C93" s="6" t="s">
        <v>7</v>
      </c>
      <c r="D93" s="25">
        <f t="shared" si="0"/>
        <v>6.3258087974779928E-2</v>
      </c>
      <c r="F93" s="64"/>
      <c r="H93" s="64"/>
      <c r="I93" s="64"/>
    </row>
    <row r="94" spans="1:9" ht="12.75" customHeight="1" x14ac:dyDescent="0.2">
      <c r="A94" s="268" t="s">
        <v>110</v>
      </c>
      <c r="B94" s="8">
        <f>IF(Number_of_Configured_ECC_variables&gt;0,(Sum_of_all_ECC_Variable_Values+Sum_of_all_ECC_Variable_Names+(Number_of_Configured_ECC_variables*'BW Data'!E36))*Avg_Number_Dialog_Events_Per_ConfCall*Percentage_of_Consultative_Conference_Calls*Calls_Per_Second*kbps*Bandwidth_Confidence_Factor_v9,0)</f>
        <v>531.07826086956516</v>
      </c>
      <c r="C94" s="6" t="s">
        <v>7</v>
      </c>
      <c r="D94" s="25">
        <f t="shared" si="0"/>
        <v>3.9536304984237457E-2</v>
      </c>
      <c r="F94" s="64"/>
      <c r="H94" s="64"/>
      <c r="I94" s="64"/>
    </row>
    <row r="95" spans="1:9" ht="12.75" customHeight="1" x14ac:dyDescent="0.2">
      <c r="A95" s="268" t="s">
        <v>111</v>
      </c>
      <c r="B95" s="8">
        <f>IF(Number_of_Configured_ECC_variables&gt;0,(Sum_of_all_ECC_Variable_Values+Sum_of_all_ECC_Variable_Names+(Number_of_Configured_ECC_variables*'BW Data'!E36))*Avg_Number_Dialog_Events_Per_XferCall*Percentage_of_Consultative_Transfer_Calls*Calls_Per_Second*kbps*Bandwidth_Confidence_Factor_v9,0)</f>
        <v>424.86260869565211</v>
      </c>
      <c r="C95" s="6" t="s">
        <v>7</v>
      </c>
      <c r="D95" s="25">
        <f t="shared" si="0"/>
        <v>3.1629043987389964E-2</v>
      </c>
      <c r="F95" s="64"/>
      <c r="H95" s="64"/>
      <c r="I95" s="64"/>
    </row>
    <row r="96" spans="1:9" ht="12" customHeight="1" x14ac:dyDescent="0.2">
      <c r="A96" s="268" t="s">
        <v>105</v>
      </c>
      <c r="B96" s="8">
        <f>(Sum_of_all_Call_Variable_Values+(Number_of_Configured_Call_variables*'BW Data'!E39))*Avg_Number_Dialog_Events_Per_IncomingCall*Percentage_of_Incoming_Straight_Calls*Calls_Per_Second*kbps*Bandwidth_Confidence_Factor_v9</f>
        <v>12.208695652173912</v>
      </c>
      <c r="C96" s="6" t="s">
        <v>7</v>
      </c>
      <c r="D96" s="25">
        <f t="shared" si="0"/>
        <v>9.0888057435028645E-4</v>
      </c>
      <c r="F96" s="64"/>
      <c r="H96" s="64"/>
      <c r="I96" s="64"/>
    </row>
    <row r="97" spans="1:9" ht="12.75" customHeight="1" x14ac:dyDescent="0.2">
      <c r="A97" s="268" t="s">
        <v>106</v>
      </c>
      <c r="B97" s="8">
        <f>(Sum_of_all_Call_Variable_Values+(Number_of_Configured_Call_variables*'BW Data'!E39))*Avg_Number_Dialog_Events_Per_OutCall*Percentage_of_Outgoing_Straight_Calls*Calls_Per_Second*kbps*Bandwidth_Confidence_Factor_v9</f>
        <v>32.556521739130439</v>
      </c>
      <c r="C97" s="6" t="s">
        <v>7</v>
      </c>
      <c r="D97" s="25">
        <f t="shared" si="0"/>
        <v>2.4236815316007643E-3</v>
      </c>
      <c r="F97" s="64"/>
      <c r="H97" s="64"/>
      <c r="I97" s="64"/>
    </row>
    <row r="98" spans="1:9" ht="12.75" customHeight="1" x14ac:dyDescent="0.2">
      <c r="A98" s="268" t="s">
        <v>107</v>
      </c>
      <c r="B98" s="8">
        <f>(Sum_of_all_Call_Variable_Values_v901+(Number_of_Configured_Call_variables*'BW Data'!E39))*Avg_Number_Dialog_Events_Per_ConfCall*Percentage_of_Consultative_Conference_Calls*Calls_Per_Second*kbps*Bandwidth_Confidence_Factor_v9</f>
        <v>20.347826086956523</v>
      </c>
      <c r="C98" s="6" t="s">
        <v>7</v>
      </c>
      <c r="D98" s="25">
        <f t="shared" si="0"/>
        <v>1.5148009572504776E-3</v>
      </c>
      <c r="F98" s="64"/>
      <c r="H98" s="64"/>
      <c r="I98" s="64"/>
    </row>
    <row r="99" spans="1:9" ht="12.75" customHeight="1" x14ac:dyDescent="0.2">
      <c r="A99" s="268" t="s">
        <v>108</v>
      </c>
      <c r="B99" s="8">
        <f>(Sum_of_all_Call_Variable_Values+(Number_of_Configured_Call_variables*'BW Data'!E39))*Avg_Number_Dialog_Events_Per_XferCall*Percentage_of_Consultative_Transfer_Calls*Calls_Per_Second*kbps*Bandwidth_Confidence_Factor_v9</f>
        <v>16.278260869565219</v>
      </c>
      <c r="C99" s="6" t="s">
        <v>7</v>
      </c>
      <c r="D99" s="25">
        <f t="shared" si="0"/>
        <v>1.2118407658003821E-3</v>
      </c>
      <c r="F99" s="64"/>
      <c r="H99" s="64"/>
      <c r="I99" s="64"/>
    </row>
    <row r="100" spans="1:9" ht="12.75" customHeight="1" x14ac:dyDescent="0.2">
      <c r="A100" s="271" t="s">
        <v>208</v>
      </c>
      <c r="B100" s="195">
        <f>((Tasks_Per_Second*Percentage_of_Incoming_Straight_Tasks) * 'BW Data'!E28) * kbps * Bandwidth_Confidence_Factor</f>
        <v>7.7514666666666676E-2</v>
      </c>
      <c r="C100" s="192" t="s">
        <v>7</v>
      </c>
      <c r="D100" s="196">
        <f t="shared" si="0"/>
        <v>5.7706061947761165E-6</v>
      </c>
      <c r="F100" s="64"/>
      <c r="H100" s="64"/>
      <c r="I100" s="64"/>
    </row>
    <row r="101" spans="1:9" ht="12.75" customHeight="1" x14ac:dyDescent="0.2">
      <c r="A101" s="272" t="s">
        <v>209</v>
      </c>
      <c r="B101" s="197">
        <f>((Tasks_Per_Second*Percentage_of_Transferred_Tasks)*'BW Data'!E29*kbps*Bandwidth_Confidence_Factor)</f>
        <v>0.15735142222222223</v>
      </c>
      <c r="C101" s="198" t="s">
        <v>7</v>
      </c>
      <c r="D101" s="199">
        <f t="shared" si="0"/>
        <v>1.1714081100768728E-5</v>
      </c>
      <c r="F101" s="64"/>
      <c r="H101" s="64"/>
      <c r="I101" s="64"/>
    </row>
    <row r="102" spans="1:9" ht="12.75" customHeight="1" x14ac:dyDescent="0.2">
      <c r="A102" s="271" t="s">
        <v>210</v>
      </c>
      <c r="B102" s="195">
        <f>((Tasks_Per_Second * Percentage_of_Interrupted_Tasks) * 'BW Data'!E32) * kbps * Bandwidth_Confidence_Factor</f>
        <v>0.42451644444444442</v>
      </c>
      <c r="C102" s="192" t="s">
        <v>7</v>
      </c>
      <c r="D102" s="196">
        <f t="shared" si="0"/>
        <v>3.1603273669870323E-5</v>
      </c>
      <c r="F102" s="64"/>
      <c r="H102" s="64"/>
      <c r="I102" s="64"/>
    </row>
    <row r="103" spans="1:9" ht="12.75" customHeight="1" x14ac:dyDescent="0.2">
      <c r="A103" s="271" t="s">
        <v>211</v>
      </c>
      <c r="B103" s="195">
        <f>(Tasks_Per_Second*Percentage_of_Paused_and_Resumed_Tasks)*('BW Data'!E30+'BW Data'!E31)*kbps*Bandwidth_Confidence_Factor</f>
        <v>0.11776555555555555</v>
      </c>
      <c r="C103" s="192" t="s">
        <v>7</v>
      </c>
      <c r="D103" s="196">
        <f t="shared" si="0"/>
        <v>8.7670975525509974E-6</v>
      </c>
      <c r="F103" s="64"/>
      <c r="H103" s="64"/>
      <c r="I103" s="64"/>
    </row>
    <row r="104" spans="1:9" ht="12.75" customHeight="1" thickBot="1" x14ac:dyDescent="0.25">
      <c r="A104" s="273" t="s">
        <v>214</v>
      </c>
      <c r="B104" s="195">
        <f>IF(Agent_Task_Wrap_Up_Time&gt;0,Tasks_Per_Second*'BW Data'!E33*kbps*Bandwidth_Confidence_Factor,0)</f>
        <v>0</v>
      </c>
      <c r="C104" s="200" t="s">
        <v>7</v>
      </c>
      <c r="D104" s="196">
        <f t="shared" si="0"/>
        <v>0</v>
      </c>
      <c r="F104" s="64"/>
      <c r="H104" s="64"/>
      <c r="I104" s="64"/>
    </row>
    <row r="105" spans="1:9" ht="12.75" customHeight="1" thickBot="1" x14ac:dyDescent="0.25">
      <c r="A105" s="274" t="s">
        <v>62</v>
      </c>
      <c r="B105" s="32">
        <f>SUM(B87:B104)</f>
        <v>12370.342713306278</v>
      </c>
      <c r="C105" s="33" t="s">
        <v>7</v>
      </c>
      <c r="D105" s="26">
        <f t="shared" si="0"/>
        <v>0.92091444577682657</v>
      </c>
      <c r="F105" s="64"/>
      <c r="H105" s="64"/>
      <c r="I105" s="64"/>
    </row>
    <row r="106" spans="1:9" ht="12.75" customHeight="1" thickBot="1" x14ac:dyDescent="0.25">
      <c r="A106" s="274" t="s">
        <v>63</v>
      </c>
      <c r="B106" s="32">
        <f>SUM(B81:B85)</f>
        <v>1062.3303976811596</v>
      </c>
      <c r="C106" s="33" t="s">
        <v>7</v>
      </c>
      <c r="D106" s="26">
        <f t="shared" si="0"/>
        <v>7.9085554223173343E-2</v>
      </c>
      <c r="F106" s="64"/>
      <c r="H106" s="64"/>
      <c r="I106" s="64"/>
    </row>
    <row r="107" spans="1:9" s="17" customFormat="1" ht="16.149999999999999" customHeight="1" thickBot="1" x14ac:dyDescent="0.3">
      <c r="A107" s="253" t="s">
        <v>64</v>
      </c>
      <c r="B107" s="39">
        <f>SUM(B105:B106)</f>
        <v>13432.673110987438</v>
      </c>
      <c r="C107" s="40" t="s">
        <v>7</v>
      </c>
      <c r="D107" s="41">
        <f>SUM(D81:D99)</f>
        <v>0.99994214494148204</v>
      </c>
      <c r="F107" s="64"/>
      <c r="H107" s="65"/>
      <c r="I107" s="65"/>
    </row>
    <row r="108" spans="1:9" ht="12.75" customHeight="1" thickBot="1" x14ac:dyDescent="0.25">
      <c r="A108" s="274" t="s">
        <v>94</v>
      </c>
      <c r="B108" s="32">
        <f>IF(Number_of_Agents&gt;0,B105/Number_of_Agents,0)</f>
        <v>6.8724126185034873</v>
      </c>
      <c r="C108" s="33" t="s">
        <v>7</v>
      </c>
      <c r="D108" s="26"/>
      <c r="H108" s="64"/>
      <c r="I108" s="64"/>
    </row>
    <row r="109" spans="1:9" ht="12.75" customHeight="1" thickBot="1" x14ac:dyDescent="0.25">
      <c r="A109" s="274" t="s">
        <v>95</v>
      </c>
      <c r="B109" s="32">
        <f>IF(Number_of_Supervisors&gt;0,B106/Number_of_Supervisors,0)</f>
        <v>5.3116519884057984</v>
      </c>
      <c r="C109" s="33" t="s">
        <v>7</v>
      </c>
      <c r="D109" s="26"/>
      <c r="H109" s="64"/>
      <c r="I109" s="64"/>
    </row>
    <row r="110" spans="1:9" ht="12.75" customHeight="1" x14ac:dyDescent="0.2"/>
    <row r="111" spans="1:9" ht="22.5" customHeight="1" thickBot="1" x14ac:dyDescent="0.3">
      <c r="A111" s="91" t="s">
        <v>138</v>
      </c>
      <c r="B111" s="92"/>
      <c r="C111" s="91"/>
      <c r="D111" s="93"/>
    </row>
    <row r="112" spans="1:9" s="17" customFormat="1" ht="16.149999999999999" customHeight="1" thickBot="1" x14ac:dyDescent="0.3">
      <c r="A112" s="237" t="s">
        <v>82</v>
      </c>
      <c r="B112" s="238"/>
      <c r="C112" s="238"/>
      <c r="D112" s="239"/>
      <c r="H112" s="65"/>
      <c r="I112" s="65"/>
    </row>
    <row r="113" spans="1:9" ht="12.75" customHeight="1" x14ac:dyDescent="0.2">
      <c r="A113" s="219" t="s">
        <v>114</v>
      </c>
      <c r="B113" s="220"/>
      <c r="C113" s="220"/>
      <c r="D113" s="221"/>
      <c r="H113" s="64"/>
      <c r="I113" s="64"/>
    </row>
    <row r="114" spans="1:9" ht="12.75" customHeight="1" x14ac:dyDescent="0.2">
      <c r="A114" s="267" t="s">
        <v>139</v>
      </c>
      <c r="B114" s="23">
        <f>((Number_of_Supervisors*'BW Data'!F7)/(Max_Login_Time_All_Agents*60))*kbps*Bandwidth_Confidence_Factor_v91</f>
        <v>2051.8229333333334</v>
      </c>
      <c r="C114" s="24" t="s">
        <v>7</v>
      </c>
      <c r="D114" s="25">
        <f>IF(B$142&gt;0,B114/B$142,0)</f>
        <v>0.2948303911330854</v>
      </c>
      <c r="H114" s="64"/>
      <c r="I114" s="64"/>
    </row>
    <row r="115" spans="1:9" ht="12.75" customHeight="1" x14ac:dyDescent="0.2">
      <c r="A115" s="267" t="s">
        <v>85</v>
      </c>
      <c r="B115" s="23">
        <f>(('BW Data'!F19*Number_of_Skill_Groups_PG)/Skill_Group_Refresh_Rate_v91)*kbps*Bandwidth_Confidence_Factor_v91</f>
        <v>2237.04</v>
      </c>
      <c r="C115" s="24" t="s">
        <v>7</v>
      </c>
      <c r="D115" s="25">
        <f t="shared" ref="D115:D119" si="1">IF(B$142&gt;0,B115/B$142,0)</f>
        <v>0.32144458835386702</v>
      </c>
      <c r="H115" s="64"/>
      <c r="I115" s="64"/>
    </row>
    <row r="116" spans="1:9" ht="12.75" customHeight="1" x14ac:dyDescent="0.2">
      <c r="A116" s="268" t="s">
        <v>87</v>
      </c>
      <c r="B116" s="23">
        <f>(IF(Agent_Call_Wrap_Up_Time&gt;0,Avg_Agent_State_Changes_Per_Call_Wrap,Avg_Agent_State_Changes_Per_Call_NoWrap)*'BW Data'!F42*Calls_Per_Second*kbps*Bandwidth_Confidence_Factor_v91)</f>
        <v>647.87478260869568</v>
      </c>
      <c r="C116" s="6" t="s">
        <v>7</v>
      </c>
      <c r="D116" s="25">
        <f t="shared" si="1"/>
        <v>9.3094375961316422E-2</v>
      </c>
      <c r="H116" s="64"/>
      <c r="I116" s="64"/>
    </row>
    <row r="117" spans="1:9" ht="12.75" customHeight="1" x14ac:dyDescent="0.2">
      <c r="A117" s="268" t="s">
        <v>140</v>
      </c>
      <c r="B117" s="23">
        <f>IF(Number_of_Supervisors&gt;0,((Calls_Per_Second* Percentage_of_BargedCalls) * 'BW Data'!F43) * kbps * Bandwidth_Confidence_Factor_v91,0)</f>
        <v>49.431652173913051</v>
      </c>
      <c r="C117" s="6" t="s">
        <v>7</v>
      </c>
      <c r="D117" s="25">
        <f t="shared" si="1"/>
        <v>7.1029293551724678E-3</v>
      </c>
      <c r="H117" s="64"/>
      <c r="I117" s="64"/>
    </row>
    <row r="118" spans="1:9" ht="12.75" customHeight="1" x14ac:dyDescent="0.2">
      <c r="A118" s="268" t="s">
        <v>141</v>
      </c>
      <c r="B118" s="23">
        <f>IF(Number_of_Supervisors&gt;0,((Calls_Per_Second* Percentage_of_InterceptedCalls) * 'BW Data'!F44) * kbps * Bandwidth_Confidence_Factor_v91,0)</f>
        <v>6.1857391304347829</v>
      </c>
      <c r="C118" s="6" t="s">
        <v>7</v>
      </c>
      <c r="D118" s="25">
        <f t="shared" si="1"/>
        <v>8.8884077551005625E-4</v>
      </c>
      <c r="H118" s="64"/>
      <c r="I118" s="64"/>
    </row>
    <row r="119" spans="1:9" ht="12.75" customHeight="1" x14ac:dyDescent="0.2">
      <c r="A119" s="268" t="s">
        <v>113</v>
      </c>
      <c r="B119" s="8">
        <f>IF(Number_of_Supervisors&gt;0,((Calls_Per_Second* Percentage_Calls_Silently_Monitored) * 'BW Data'!F41) * kbps * Bandwidth_Confidence_Factor_v91,0)</f>
        <v>44.168347826086965</v>
      </c>
      <c r="C119" s="6" t="s">
        <v>7</v>
      </c>
      <c r="D119" s="25">
        <f t="shared" si="1"/>
        <v>6.3466350110981222E-3</v>
      </c>
      <c r="H119" s="64"/>
      <c r="I119" s="64"/>
    </row>
    <row r="120" spans="1:9" ht="12.75" customHeight="1" x14ac:dyDescent="0.2">
      <c r="A120" s="219" t="s">
        <v>115</v>
      </c>
      <c r="B120" s="220"/>
      <c r="C120" s="220"/>
      <c r="D120" s="221"/>
      <c r="H120" s="64"/>
      <c r="I120" s="64"/>
    </row>
    <row r="121" spans="1:9" ht="12.75" customHeight="1" x14ac:dyDescent="0.2">
      <c r="A121" s="269" t="s">
        <v>28</v>
      </c>
      <c r="B121" s="8">
        <f>(((Calls_Per_Second*Percentage_of_Incoming_Straight_Calls) * 'BW Data'!F21) + ((Calls_Per_Second*Percentage_of_Outgoing_Straight_Calls) * 'BW Data'!F22)) * kbps * Bandwidth_Confidence_Factor_v91</f>
        <v>632.04417391304344</v>
      </c>
      <c r="C121" s="6" t="s">
        <v>7</v>
      </c>
      <c r="D121" s="25">
        <f t="shared" ref="D121:D134" si="2">IF(B$142&gt;0,B121/B$142,0)</f>
        <v>9.0819645292412376E-2</v>
      </c>
      <c r="H121" s="64"/>
      <c r="I121" s="64"/>
    </row>
    <row r="122" spans="1:9" ht="12.75" hidden="1" customHeight="1" x14ac:dyDescent="0.2">
      <c r="A122" s="275" t="s">
        <v>83</v>
      </c>
      <c r="B122" s="79">
        <v>0</v>
      </c>
      <c r="C122" s="80" t="s">
        <v>7</v>
      </c>
      <c r="D122" s="25">
        <f t="shared" si="2"/>
        <v>0</v>
      </c>
      <c r="H122" s="64"/>
      <c r="I122" s="64"/>
    </row>
    <row r="123" spans="1:9" ht="12.75" customHeight="1" x14ac:dyDescent="0.2">
      <c r="A123" s="269" t="s">
        <v>26</v>
      </c>
      <c r="B123" s="8">
        <f>((Calls_Per_Second* Percentage_of_Consultative_Transfer_Calls) * 'BW Data'!F23) * kbps * Bandwidth_Confidence_Factor_v91</f>
        <v>142.66539130434785</v>
      </c>
      <c r="C123" s="6" t="s">
        <v>7</v>
      </c>
      <c r="D123" s="25">
        <f t="shared" si="2"/>
        <v>2.0499864991314173E-2</v>
      </c>
      <c r="H123" s="64"/>
      <c r="I123" s="64"/>
    </row>
    <row r="124" spans="1:9" ht="12.75" customHeight="1" x14ac:dyDescent="0.2">
      <c r="A124" s="269" t="s">
        <v>27</v>
      </c>
      <c r="B124" s="8">
        <f>((Calls_Per_Second * Percentage_of_Consultative_Conference_Calls) * 'BW Data'!F24) * kbps * Bandwidth_Confidence_Factor_v91</f>
        <v>199.77495652173914</v>
      </c>
      <c r="C124" s="6" t="s">
        <v>7</v>
      </c>
      <c r="D124" s="25">
        <f t="shared" si="2"/>
        <v>2.8706048466966224E-2</v>
      </c>
      <c r="H124" s="64"/>
      <c r="I124" s="64"/>
    </row>
    <row r="125" spans="1:9" ht="12.75" customHeight="1" x14ac:dyDescent="0.2">
      <c r="A125" s="268" t="s">
        <v>134</v>
      </c>
      <c r="B125" s="8">
        <f>((Calls_Per_Second * Percentage_of_SingleStep_Transfer_Calls) * 'BW Data'!F25) * kbps * Bandwidth_Confidence_Factor_v91</f>
        <v>357.87756521739135</v>
      </c>
      <c r="C125" s="87" t="s">
        <v>7</v>
      </c>
      <c r="D125" s="25">
        <f t="shared" si="2"/>
        <v>5.1424116972601547E-2</v>
      </c>
      <c r="H125" s="64"/>
      <c r="I125" s="64"/>
    </row>
    <row r="126" spans="1:9" ht="12.75" customHeight="1" x14ac:dyDescent="0.2">
      <c r="A126" s="268" t="s">
        <v>93</v>
      </c>
      <c r="B126" s="8">
        <f>IF(Agent_Call_Wrap_Up_Time&gt;0,Calls_Per_Second*'BW Data'!F26 * kbps * Bandwidth_Confidence_Factor_v91,0)</f>
        <v>166.71652173913043</v>
      </c>
      <c r="C126" s="87" t="s">
        <v>7</v>
      </c>
      <c r="D126" s="25">
        <f t="shared" si="2"/>
        <v>2.395581826977761E-2</v>
      </c>
      <c r="H126" s="64"/>
      <c r="I126" s="64"/>
    </row>
    <row r="127" spans="1:9" ht="12.75" customHeight="1" x14ac:dyDescent="0.2">
      <c r="A127" s="268" t="s">
        <v>109</v>
      </c>
      <c r="B127" s="8">
        <f>IF(Number_of_Configured_ECC_variables&gt;0,(Sum_of_all_ECC_Variable_Values+Sum_of_all_ECC_Variable_Names)*Percentage_of_Incoming_Straight_Calls*Calls_Per_Second*kbps*Bandwidth_Confidence_Factor_v91,0)</f>
        <v>106.21565217391303</v>
      </c>
      <c r="C127" s="6" t="s">
        <v>7</v>
      </c>
      <c r="D127" s="25">
        <f t="shared" si="2"/>
        <v>1.526233173737662E-2</v>
      </c>
      <c r="H127" s="64"/>
      <c r="I127" s="64"/>
    </row>
    <row r="128" spans="1:9" ht="12.75" customHeight="1" x14ac:dyDescent="0.2">
      <c r="A128" s="268" t="s">
        <v>116</v>
      </c>
      <c r="B128" s="8">
        <f>IF(Number_of_Configured_ECC_variables&gt;0,(Sum_of_all_ECC_Variable_Values+Sum_of_all_ECC_Variable_Names)*Percentage_of_Outgoing_Straight_Calls*Calls_Per_Second*kbps*Bandwidth_Confidence_Factor_v91,0)</f>
        <v>106.21565217391303</v>
      </c>
      <c r="C128" s="6" t="s">
        <v>7</v>
      </c>
      <c r="D128" s="25">
        <f t="shared" si="2"/>
        <v>1.526233173737662E-2</v>
      </c>
      <c r="H128" s="64"/>
      <c r="I128" s="64"/>
    </row>
    <row r="129" spans="1:9" ht="12.75" customHeight="1" x14ac:dyDescent="0.2">
      <c r="A129" s="268" t="s">
        <v>110</v>
      </c>
      <c r="B129" s="8">
        <f>IF(Number_of_Configured_ECC_variables&gt;0,(Sum_of_all_ECC_Variable_Values+Sum_of_all_ECC_Variable_Names)*Percentage_of_Consultative_Conference_Calls*Calls_Per_Second*kbps*Bandwidth_Confidence_Factor_v91,0)</f>
        <v>35.405217391304348</v>
      </c>
      <c r="C129" s="6" t="s">
        <v>7</v>
      </c>
      <c r="D129" s="25">
        <f t="shared" si="2"/>
        <v>5.0874439124588746E-3</v>
      </c>
      <c r="H129" s="64"/>
      <c r="I129" s="64"/>
    </row>
    <row r="130" spans="1:9" ht="12.75" customHeight="1" x14ac:dyDescent="0.2">
      <c r="A130" s="268" t="s">
        <v>111</v>
      </c>
      <c r="B130" s="8">
        <f>IF(Number_of_Configured_ECC_variables&gt;0,(Sum_of_all_ECC_Variable_Values+Sum_of_all_ECC_Variable_Names)*Percentage_of_Consultative_Transfer_Calls*Calls_Per_Second*kbps*Bandwidth_Confidence_Factor_v91,0)</f>
        <v>35.405217391304348</v>
      </c>
      <c r="C130" s="6" t="s">
        <v>7</v>
      </c>
      <c r="D130" s="25">
        <f t="shared" si="2"/>
        <v>5.0874439124588746E-3</v>
      </c>
      <c r="H130" s="64"/>
      <c r="I130" s="64"/>
    </row>
    <row r="131" spans="1:9" ht="12" customHeight="1" x14ac:dyDescent="0.2">
      <c r="A131" s="268" t="s">
        <v>105</v>
      </c>
      <c r="B131" s="8">
        <f>IF(Number_of_Configured_Call_variables&gt;0,(Sum_of_all_Call_Variable_Values+Bytes_Per_Call_Variable_Value)*Percentage_of_Incoming_Straight_Calls*Calls_Per_Second*kbps*Bandwidth_Confidence_Factor_v91,0)</f>
        <v>4.6393043478260862</v>
      </c>
      <c r="C131" s="6" t="s">
        <v>7</v>
      </c>
      <c r="D131" s="25">
        <f t="shared" si="2"/>
        <v>6.6663058163254202E-4</v>
      </c>
      <c r="H131" s="64"/>
      <c r="I131" s="64"/>
    </row>
    <row r="132" spans="1:9" ht="12.75" customHeight="1" x14ac:dyDescent="0.2">
      <c r="A132" s="268" t="s">
        <v>106</v>
      </c>
      <c r="B132" s="8">
        <f>IF(Number_of_Configured_Call_variables&gt;0,(Sum_of_all_Call_Variable_Values+Bytes_Per_Call_Variable_Value)*Percentage_of_Outgoing_Straight_Calls*Calls_Per_Second*kbps*Bandwidth_Confidence_Factor_v91,0)</f>
        <v>4.6393043478260862</v>
      </c>
      <c r="C132" s="6" t="s">
        <v>7</v>
      </c>
      <c r="D132" s="25">
        <f t="shared" si="2"/>
        <v>6.6663058163254202E-4</v>
      </c>
      <c r="H132" s="64"/>
      <c r="I132" s="64"/>
    </row>
    <row r="133" spans="1:9" ht="12.75" customHeight="1" x14ac:dyDescent="0.2">
      <c r="A133" s="268" t="s">
        <v>107</v>
      </c>
      <c r="B133" s="8">
        <f>IF(Number_of_Configured_Call_variables&gt;0,(Sum_of_all_Call_Variable_Values+Bytes_Per_Call_Variable_Value)*Percentage_of_Consultative_Conference_Calls*Calls_Per_Second*kbps*Bandwidth_Confidence_Factor_v91,0)</f>
        <v>1.5464347826086957</v>
      </c>
      <c r="C133" s="6" t="s">
        <v>7</v>
      </c>
      <c r="D133" s="25">
        <f t="shared" si="2"/>
        <v>2.2221019387751406E-4</v>
      </c>
      <c r="H133" s="64"/>
      <c r="I133" s="64"/>
    </row>
    <row r="134" spans="1:9" ht="12.75" customHeight="1" x14ac:dyDescent="0.2">
      <c r="A134" s="268" t="s">
        <v>108</v>
      </c>
      <c r="B134" s="8">
        <f>IF(Number_of_Configured_Call_variables&gt;0,(Sum_of_all_Call_Variable_Values+Bytes_Per_Call_Variable_Value)*Percentage_of_Consultative_Transfer_Calls*Calls_Per_Second*kbps*Bandwidth_Confidence_Factor_v91,0)</f>
        <v>1.5464347826086957</v>
      </c>
      <c r="C134" s="6" t="s">
        <v>7</v>
      </c>
      <c r="D134" s="25">
        <f t="shared" si="2"/>
        <v>2.2221019387751406E-4</v>
      </c>
      <c r="H134" s="64"/>
      <c r="I134" s="64"/>
    </row>
    <row r="135" spans="1:9" ht="12.75" customHeight="1" x14ac:dyDescent="0.2">
      <c r="A135" s="271" t="s">
        <v>208</v>
      </c>
      <c r="B135" s="195">
        <f>((Tasks_Per_Second*Percentage_of_Incoming_Straight_Tasks) * 'BW Data'!F28) * kbps * Bandwidth_Confidence_Factor</f>
        <v>1.4929777777777778E-2</v>
      </c>
      <c r="C135" s="192" t="s">
        <v>7</v>
      </c>
      <c r="D135" s="196">
        <f>IF(B$107&gt;0,B135/B$107,0)</f>
        <v>1.1114524752013628E-6</v>
      </c>
      <c r="H135" s="64"/>
      <c r="I135" s="64"/>
    </row>
    <row r="136" spans="1:9" ht="12.75" customHeight="1" x14ac:dyDescent="0.2">
      <c r="A136" s="272" t="s">
        <v>209</v>
      </c>
      <c r="B136" s="197">
        <f>((Tasks_Per_Second*Percentage_of_Transferred_Tasks)*'BW Data'!F29*kbps*Bandwidth_Confidence_Factor)</f>
        <v>3.4725888888888889E-2</v>
      </c>
      <c r="C136" s="198" t="s">
        <v>7</v>
      </c>
      <c r="D136" s="199">
        <f>IF(B$107&gt;0,B136/B$107,0)</f>
        <v>2.5851808200770086E-6</v>
      </c>
      <c r="H136" s="64"/>
      <c r="I136" s="64"/>
    </row>
    <row r="137" spans="1:9" ht="12.75" customHeight="1" x14ac:dyDescent="0.2">
      <c r="A137" s="271" t="s">
        <v>210</v>
      </c>
      <c r="B137" s="195">
        <f>((Tasks_Per_Second * Percentage_of_Interrupted_Tasks) * 'BW Data'!F32) * kbps * Bandwidth_Confidence_Factor</f>
        <v>5.1243111111111114E-2</v>
      </c>
      <c r="C137" s="192" t="s">
        <v>7</v>
      </c>
      <c r="D137" s="196">
        <f>IF(B$107&gt;0,B137/B$107,0)</f>
        <v>3.8148111465018915E-6</v>
      </c>
      <c r="H137" s="64"/>
      <c r="I137" s="64"/>
    </row>
    <row r="138" spans="1:9" ht="12.75" customHeight="1" x14ac:dyDescent="0.2">
      <c r="A138" s="271" t="s">
        <v>211</v>
      </c>
      <c r="B138" s="195">
        <f>(Tasks_Per_Second*Percentage_of_Paused_and_Resumed_Tasks)*('BW Data'!F30+'BW Data'!F31)*kbps*Bandwidth_Confidence_Factor</f>
        <v>1.7033466666666667E-2</v>
      </c>
      <c r="C138" s="192" t="s">
        <v>7</v>
      </c>
      <c r="D138" s="196">
        <f>IF(B$107&gt;0,B138/B$107,0)</f>
        <v>1.2680623228100378E-6</v>
      </c>
      <c r="H138" s="64"/>
      <c r="I138" s="64"/>
    </row>
    <row r="139" spans="1:9" ht="12.75" customHeight="1" thickBot="1" x14ac:dyDescent="0.25">
      <c r="A139" s="273" t="s">
        <v>214</v>
      </c>
      <c r="B139" s="195">
        <f>IF(Agent_Task_Wrap_Up_Time&gt;0,Tasks_Per_Second*'BW Data'!F33*kbps*Bandwidth_Confidence_Factor,0)</f>
        <v>0</v>
      </c>
      <c r="C139" s="200" t="s">
        <v>7</v>
      </c>
      <c r="D139" s="196">
        <f>IF(B$107&gt;0,B139/B$107,0)</f>
        <v>0</v>
      </c>
      <c r="H139" s="64"/>
      <c r="I139" s="64"/>
    </row>
    <row r="140" spans="1:9" ht="12.75" customHeight="1" thickBot="1" x14ac:dyDescent="0.25">
      <c r="A140" s="274" t="s">
        <v>62</v>
      </c>
      <c r="B140" s="32">
        <f>SUM(B121:B139)</f>
        <v>1794.8097583314009</v>
      </c>
      <c r="C140" s="33" t="s">
        <v>7</v>
      </c>
      <c r="D140" s="26">
        <f>IF(B$142&gt;0,B140/B$142,0)</f>
        <v>0.25789967275522152</v>
      </c>
      <c r="H140" s="64"/>
      <c r="I140" s="64"/>
    </row>
    <row r="141" spans="1:9" ht="12.75" customHeight="1" thickBot="1" x14ac:dyDescent="0.25">
      <c r="A141" s="274" t="s">
        <v>63</v>
      </c>
      <c r="B141" s="32">
        <f>SUM(B114:B119)</f>
        <v>5036.5234550724635</v>
      </c>
      <c r="C141" s="33" t="s">
        <v>7</v>
      </c>
      <c r="D141" s="26">
        <f>IF(B$142&gt;0,B141/B$142,0)</f>
        <v>0.72370776059004949</v>
      </c>
      <c r="H141" s="64"/>
      <c r="I141" s="64"/>
    </row>
    <row r="142" spans="1:9" s="17" customFormat="1" ht="16.149999999999999" customHeight="1" thickBot="1" x14ac:dyDescent="0.3">
      <c r="A142" s="253" t="s">
        <v>64</v>
      </c>
      <c r="B142" s="39">
        <f>SUM(B140:B141)+('BW Data'!E64)</f>
        <v>6959.3332134038646</v>
      </c>
      <c r="C142" s="40" t="s">
        <v>7</v>
      </c>
      <c r="D142" s="41">
        <f>SUM(D114:D134)</f>
        <v>0.98159048743381228</v>
      </c>
      <c r="H142" s="65"/>
      <c r="I142" s="65"/>
    </row>
    <row r="143" spans="1:9" ht="12.75" customHeight="1" thickBot="1" x14ac:dyDescent="0.25">
      <c r="A143" s="274" t="s">
        <v>94</v>
      </c>
      <c r="B143" s="32">
        <f>IF(Number_of_Agents&gt;0,B140/Number_of_Agents,0)</f>
        <v>0.9971165324063338</v>
      </c>
      <c r="C143" s="33" t="s">
        <v>7</v>
      </c>
      <c r="D143" s="26"/>
      <c r="H143" s="64"/>
      <c r="I143" s="64"/>
    </row>
    <row r="144" spans="1:9" ht="12.75" customHeight="1" thickBot="1" x14ac:dyDescent="0.25">
      <c r="A144" s="274" t="s">
        <v>95</v>
      </c>
      <c r="B144" s="32">
        <f>IF(Number_of_Supervisors&gt;0,B141/Number_of_Supervisors,0)</f>
        <v>25.182617275362318</v>
      </c>
      <c r="C144" s="33" t="s">
        <v>7</v>
      </c>
      <c r="D144" s="26"/>
      <c r="H144" s="64"/>
      <c r="I144" s="64"/>
    </row>
    <row r="145" spans="1:4" ht="12.75" customHeight="1" x14ac:dyDescent="0.2"/>
    <row r="146" spans="1:4" ht="12.75" customHeight="1" x14ac:dyDescent="0.2"/>
    <row r="147" spans="1:4" ht="12.75" customHeight="1" x14ac:dyDescent="0.2"/>
    <row r="148" spans="1:4" ht="82.5" customHeight="1" x14ac:dyDescent="0.2">
      <c r="A148" s="218" t="s">
        <v>130</v>
      </c>
      <c r="B148" s="218"/>
      <c r="C148" s="218"/>
      <c r="D148" s="218"/>
    </row>
    <row r="149" spans="1:4" ht="12.75" customHeight="1" x14ac:dyDescent="0.2">
      <c r="A149" s="218"/>
      <c r="B149" s="218"/>
      <c r="C149" s="218"/>
      <c r="D149" s="218"/>
    </row>
  </sheetData>
  <mergeCells count="23">
    <mergeCell ref="A86:D86"/>
    <mergeCell ref="A148:B148"/>
    <mergeCell ref="C148:D148"/>
    <mergeCell ref="A149:B149"/>
    <mergeCell ref="C149:D149"/>
    <mergeCell ref="A112:D112"/>
    <mergeCell ref="A113:D113"/>
    <mergeCell ref="A120:D120"/>
    <mergeCell ref="A80:D80"/>
    <mergeCell ref="A8:D8"/>
    <mergeCell ref="A19:D19"/>
    <mergeCell ref="A29:D29"/>
    <mergeCell ref="D30:D31"/>
    <mergeCell ref="D32:D33"/>
    <mergeCell ref="A46:D46"/>
    <mergeCell ref="A50:D50"/>
    <mergeCell ref="A53:D53"/>
    <mergeCell ref="A57:D57"/>
    <mergeCell ref="A61:D61"/>
    <mergeCell ref="A79:D79"/>
    <mergeCell ref="A24:D24"/>
    <mergeCell ref="A40:D40"/>
    <mergeCell ref="D41:D42"/>
  </mergeCells>
  <conditionalFormatting sqref="B36">
    <cfRule type="cellIs" dxfId="3" priority="3" stopIfTrue="1" operator="equal">
      <formula>1</formula>
    </cfRule>
    <cfRule type="cellIs" dxfId="2" priority="4" stopIfTrue="1" operator="notEqual">
      <formula>1</formula>
    </cfRule>
  </conditionalFormatting>
  <conditionalFormatting sqref="B45">
    <cfRule type="cellIs" dxfId="1" priority="1" stopIfTrue="1" operator="equal">
      <formula>1</formula>
    </cfRule>
    <cfRule type="cellIs" dxfId="0" priority="2" stopIfTrue="1" operator="notEqual">
      <formula>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tabSelected="1" topLeftCell="A49" zoomScale="130" zoomScaleNormal="130" zoomScalePageLayoutView="130" workbookViewId="0">
      <selection activeCell="I60" sqref="I60"/>
    </sheetView>
  </sheetViews>
  <sheetFormatPr defaultColWidth="8.7109375" defaultRowHeight="12.75" x14ac:dyDescent="0.2"/>
  <cols>
    <col min="1" max="1" width="58.140625" customWidth="1"/>
    <col min="2" max="4" width="18.7109375" hidden="1" customWidth="1"/>
    <col min="5" max="7" width="18.7109375" customWidth="1"/>
    <col min="8" max="8" width="12.42578125" customWidth="1"/>
    <col min="9" max="9" width="26.7109375" bestFit="1" customWidth="1"/>
  </cols>
  <sheetData>
    <row r="1" spans="1:8" ht="13.5" thickBot="1" x14ac:dyDescent="0.25">
      <c r="A1" s="1"/>
    </row>
    <row r="2" spans="1:8" x14ac:dyDescent="0.2">
      <c r="A2" s="244" t="s">
        <v>225</v>
      </c>
      <c r="B2" s="109"/>
      <c r="C2" s="109"/>
      <c r="D2" s="109"/>
      <c r="E2" s="109"/>
      <c r="F2" s="109"/>
      <c r="G2" s="109"/>
      <c r="H2" s="110"/>
    </row>
    <row r="3" spans="1:8" ht="25.5" x14ac:dyDescent="0.2">
      <c r="A3" s="245"/>
      <c r="B3" s="63" t="s">
        <v>131</v>
      </c>
      <c r="C3" s="63" t="s">
        <v>132</v>
      </c>
      <c r="D3" s="63" t="s">
        <v>133</v>
      </c>
      <c r="E3" s="63" t="s">
        <v>219</v>
      </c>
      <c r="F3" s="63" t="s">
        <v>220</v>
      </c>
      <c r="G3" s="63" t="s">
        <v>223</v>
      </c>
      <c r="H3" s="111" t="s">
        <v>11</v>
      </c>
    </row>
    <row r="4" spans="1:8" x14ac:dyDescent="0.2">
      <c r="A4" s="112" t="s">
        <v>119</v>
      </c>
      <c r="B4" s="108"/>
      <c r="C4" s="124"/>
      <c r="D4" s="124"/>
      <c r="E4" s="124"/>
      <c r="F4" s="124"/>
      <c r="G4" s="124"/>
      <c r="H4" s="113"/>
    </row>
    <row r="5" spans="1:8" x14ac:dyDescent="0.2">
      <c r="A5" s="171" t="s">
        <v>158</v>
      </c>
      <c r="B5" s="62">
        <f>2.8 *1024 * 1024</f>
        <v>2936012.7999999998</v>
      </c>
      <c r="C5" s="138"/>
      <c r="D5" s="132">
        <f>1680+1380</f>
        <v>3060</v>
      </c>
      <c r="E5" s="149">
        <v>3086336</v>
      </c>
      <c r="F5" s="149">
        <v>296960</v>
      </c>
      <c r="G5" s="151" t="s">
        <v>142</v>
      </c>
      <c r="H5" s="160" t="s">
        <v>128</v>
      </c>
    </row>
    <row r="6" spans="1:8" x14ac:dyDescent="0.2">
      <c r="A6" s="172" t="s">
        <v>159</v>
      </c>
      <c r="B6" s="62">
        <f>0.8 *1024 * 1024</f>
        <v>838860.80000000005</v>
      </c>
      <c r="C6" s="138"/>
      <c r="D6" s="132" t="s">
        <v>142</v>
      </c>
      <c r="E6" s="149">
        <v>248832</v>
      </c>
      <c r="F6" s="149">
        <v>60416</v>
      </c>
      <c r="G6" s="151" t="s">
        <v>142</v>
      </c>
      <c r="H6" s="160" t="s">
        <v>128</v>
      </c>
    </row>
    <row r="7" spans="1:8" x14ac:dyDescent="0.2">
      <c r="A7" s="171" t="s">
        <v>160</v>
      </c>
      <c r="B7" s="62">
        <f>5.2 *1024 * 1024</f>
        <v>5452595.2000000002</v>
      </c>
      <c r="C7" s="138"/>
      <c r="D7" s="125">
        <f>1338+802</f>
        <v>2140</v>
      </c>
      <c r="E7" s="150">
        <v>3333120</v>
      </c>
      <c r="F7" s="149">
        <v>295936</v>
      </c>
      <c r="G7" s="151" t="s">
        <v>142</v>
      </c>
      <c r="H7" s="160" t="s">
        <v>128</v>
      </c>
    </row>
    <row r="8" spans="1:8" x14ac:dyDescent="0.2">
      <c r="A8" s="172" t="s">
        <v>161</v>
      </c>
      <c r="B8" s="62">
        <f>2.8 *1024 * 1024</f>
        <v>2936012.7999999998</v>
      </c>
      <c r="C8" s="138"/>
      <c r="D8" s="132" t="s">
        <v>142</v>
      </c>
      <c r="E8" s="149">
        <v>296960</v>
      </c>
      <c r="F8" s="149">
        <v>120832</v>
      </c>
      <c r="G8" s="151" t="s">
        <v>142</v>
      </c>
      <c r="H8" s="160" t="s">
        <v>128</v>
      </c>
    </row>
    <row r="9" spans="1:8" x14ac:dyDescent="0.2">
      <c r="A9" s="201" t="s">
        <v>162</v>
      </c>
      <c r="B9" s="62">
        <f>2.8 *1024 * 1024</f>
        <v>2936012.7999999998</v>
      </c>
      <c r="C9" s="138"/>
      <c r="D9" s="132">
        <f>1680+1380</f>
        <v>3060</v>
      </c>
      <c r="E9" s="149">
        <v>3293184</v>
      </c>
      <c r="F9" s="149">
        <v>537600</v>
      </c>
      <c r="G9" s="151" t="s">
        <v>142</v>
      </c>
      <c r="H9" s="160" t="s">
        <v>128</v>
      </c>
    </row>
    <row r="10" spans="1:8" x14ac:dyDescent="0.2">
      <c r="A10" s="202" t="s">
        <v>163</v>
      </c>
      <c r="B10" s="62">
        <f>0.8 *1024 * 1024</f>
        <v>838860.80000000005</v>
      </c>
      <c r="C10" s="138"/>
      <c r="D10" s="132" t="s">
        <v>142</v>
      </c>
      <c r="E10" s="149">
        <v>329728</v>
      </c>
      <c r="F10" s="149">
        <v>120832</v>
      </c>
      <c r="G10" s="151" t="s">
        <v>142</v>
      </c>
      <c r="H10" s="160" t="s">
        <v>128</v>
      </c>
    </row>
    <row r="11" spans="1:8" x14ac:dyDescent="0.2">
      <c r="A11" s="201" t="s">
        <v>164</v>
      </c>
      <c r="B11" s="62">
        <f>5.2 *1024 * 1024</f>
        <v>5452595.2000000002</v>
      </c>
      <c r="C11" s="138"/>
      <c r="D11" s="125">
        <f>1338+802</f>
        <v>2140</v>
      </c>
      <c r="E11" s="150">
        <v>3660800</v>
      </c>
      <c r="F11" s="149">
        <v>417792</v>
      </c>
      <c r="G11" s="151" t="s">
        <v>142</v>
      </c>
      <c r="H11" s="160" t="s">
        <v>128</v>
      </c>
    </row>
    <row r="12" spans="1:8" x14ac:dyDescent="0.2">
      <c r="A12" s="203" t="s">
        <v>165</v>
      </c>
      <c r="B12" s="173">
        <f>2.8 *1024 * 1024</f>
        <v>2936012.7999999998</v>
      </c>
      <c r="C12" s="174"/>
      <c r="D12" s="175" t="s">
        <v>142</v>
      </c>
      <c r="E12" s="176">
        <v>342016</v>
      </c>
      <c r="F12" s="149">
        <v>60416</v>
      </c>
      <c r="G12" s="177" t="s">
        <v>142</v>
      </c>
      <c r="H12" s="178" t="s">
        <v>128</v>
      </c>
    </row>
    <row r="13" spans="1:8" x14ac:dyDescent="0.2">
      <c r="A13" s="204" t="s">
        <v>215</v>
      </c>
      <c r="B13" s="5"/>
      <c r="C13" s="142"/>
      <c r="D13" s="131"/>
      <c r="E13" s="179">
        <v>3214</v>
      </c>
      <c r="F13" s="149">
        <v>885</v>
      </c>
      <c r="G13" s="180" t="s">
        <v>142</v>
      </c>
      <c r="H13" s="180" t="s">
        <v>128</v>
      </c>
    </row>
    <row r="14" spans="1:8" x14ac:dyDescent="0.2">
      <c r="A14" s="204" t="s">
        <v>216</v>
      </c>
      <c r="B14" s="5"/>
      <c r="C14" s="142"/>
      <c r="D14" s="131"/>
      <c r="E14" s="179">
        <v>3160</v>
      </c>
      <c r="F14" s="149">
        <v>885</v>
      </c>
      <c r="G14" s="180" t="s">
        <v>142</v>
      </c>
      <c r="H14" s="180" t="s">
        <v>128</v>
      </c>
    </row>
    <row r="15" spans="1:8" x14ac:dyDescent="0.2">
      <c r="A15" s="204" t="s">
        <v>217</v>
      </c>
      <c r="B15" s="5"/>
      <c r="C15" s="142"/>
      <c r="D15" s="131"/>
      <c r="E15" s="179">
        <v>6191</v>
      </c>
      <c r="F15" s="149">
        <v>568</v>
      </c>
      <c r="G15" s="180" t="s">
        <v>142</v>
      </c>
      <c r="H15" s="180" t="s">
        <v>128</v>
      </c>
    </row>
    <row r="16" spans="1:8" x14ac:dyDescent="0.2">
      <c r="A16" s="204" t="s">
        <v>218</v>
      </c>
      <c r="B16" s="5"/>
      <c r="C16" s="142"/>
      <c r="D16" s="131"/>
      <c r="E16" s="179">
        <v>3200</v>
      </c>
      <c r="F16" s="149">
        <v>568</v>
      </c>
      <c r="G16" s="180" t="s">
        <v>142</v>
      </c>
      <c r="H16" s="180" t="s">
        <v>128</v>
      </c>
    </row>
    <row r="17" spans="1:8" x14ac:dyDescent="0.2">
      <c r="A17" s="248" t="s">
        <v>90</v>
      </c>
      <c r="B17" s="249"/>
      <c r="C17" s="139"/>
      <c r="D17" s="126"/>
      <c r="E17" s="126"/>
      <c r="F17" s="157"/>
      <c r="G17" s="157"/>
      <c r="H17" s="161"/>
    </row>
    <row r="18" spans="1:8" x14ac:dyDescent="0.2">
      <c r="A18" s="115" t="s">
        <v>129</v>
      </c>
      <c r="B18" s="62">
        <v>1275</v>
      </c>
      <c r="C18" s="138"/>
      <c r="D18" s="132" t="s">
        <v>142</v>
      </c>
      <c r="E18" s="146"/>
      <c r="F18" s="151" t="s">
        <v>142</v>
      </c>
      <c r="G18" s="151" t="s">
        <v>142</v>
      </c>
      <c r="H18" s="160" t="s">
        <v>128</v>
      </c>
    </row>
    <row r="19" spans="1:8" x14ac:dyDescent="0.2">
      <c r="A19" s="114" t="s">
        <v>91</v>
      </c>
      <c r="B19" s="5">
        <v>790</v>
      </c>
      <c r="C19" s="138"/>
      <c r="D19" s="125">
        <v>737</v>
      </c>
      <c r="E19" s="147">
        <v>1536</v>
      </c>
      <c r="F19" s="153">
        <v>717</v>
      </c>
      <c r="G19" s="151" t="s">
        <v>142</v>
      </c>
      <c r="H19" s="160" t="s">
        <v>128</v>
      </c>
    </row>
    <row r="20" spans="1:8" x14ac:dyDescent="0.2">
      <c r="A20" s="246" t="s">
        <v>14</v>
      </c>
      <c r="B20" s="247"/>
      <c r="C20" s="140"/>
      <c r="D20" s="127"/>
      <c r="E20" s="127"/>
      <c r="F20" s="158"/>
      <c r="G20" s="158"/>
      <c r="H20" s="161"/>
    </row>
    <row r="21" spans="1:8" x14ac:dyDescent="0.2">
      <c r="A21" s="116" t="s">
        <v>15</v>
      </c>
      <c r="B21" s="5">
        <v>25020</v>
      </c>
      <c r="C21" s="138"/>
      <c r="D21" s="125">
        <v>3259</v>
      </c>
      <c r="E21" s="215">
        <v>28725</v>
      </c>
      <c r="F21" s="153">
        <v>8121</v>
      </c>
      <c r="G21" s="153"/>
      <c r="H21" s="160" t="s">
        <v>128</v>
      </c>
    </row>
    <row r="22" spans="1:8" x14ac:dyDescent="0.2">
      <c r="A22" s="116" t="s">
        <v>16</v>
      </c>
      <c r="B22" s="5">
        <v>38785</v>
      </c>
      <c r="C22" s="138"/>
      <c r="D22" s="125">
        <v>3387</v>
      </c>
      <c r="E22" s="215">
        <v>45773</v>
      </c>
      <c r="F22" s="153">
        <v>7410</v>
      </c>
      <c r="G22" s="151" t="s">
        <v>142</v>
      </c>
      <c r="H22" s="160" t="s">
        <v>128</v>
      </c>
    </row>
    <row r="23" spans="1:8" x14ac:dyDescent="0.2">
      <c r="A23" s="116" t="s">
        <v>17</v>
      </c>
      <c r="B23" s="5">
        <v>64177</v>
      </c>
      <c r="C23" s="138"/>
      <c r="D23" s="125">
        <v>5606</v>
      </c>
      <c r="E23" s="215">
        <v>86647</v>
      </c>
      <c r="F23" s="153">
        <v>10517</v>
      </c>
      <c r="G23" s="151" t="s">
        <v>142</v>
      </c>
      <c r="H23" s="160" t="s">
        <v>128</v>
      </c>
    </row>
    <row r="24" spans="1:8" x14ac:dyDescent="0.2">
      <c r="A24" s="116" t="s">
        <v>18</v>
      </c>
      <c r="B24" s="5">
        <v>79757</v>
      </c>
      <c r="C24" s="138"/>
      <c r="D24" s="125">
        <v>6236</v>
      </c>
      <c r="E24" s="215">
        <v>108860</v>
      </c>
      <c r="F24" s="153">
        <v>14727</v>
      </c>
      <c r="G24" s="151" t="s">
        <v>142</v>
      </c>
      <c r="H24" s="160" t="s">
        <v>128</v>
      </c>
    </row>
    <row r="25" spans="1:8" x14ac:dyDescent="0.2">
      <c r="A25" s="114" t="s">
        <v>134</v>
      </c>
      <c r="B25" s="5"/>
      <c r="C25" s="138"/>
      <c r="D25" s="125">
        <v>6601</v>
      </c>
      <c r="E25" s="215">
        <v>88839</v>
      </c>
      <c r="F25" s="153">
        <v>13191</v>
      </c>
      <c r="G25" s="151" t="s">
        <v>142</v>
      </c>
      <c r="H25" s="160" t="s">
        <v>128</v>
      </c>
    </row>
    <row r="26" spans="1:8" x14ac:dyDescent="0.2">
      <c r="A26" s="114" t="s">
        <v>92</v>
      </c>
      <c r="B26" s="5">
        <v>17213</v>
      </c>
      <c r="C26" s="138"/>
      <c r="D26" s="125">
        <v>455</v>
      </c>
      <c r="E26" s="215">
        <v>15258</v>
      </c>
      <c r="F26" s="153">
        <v>1229</v>
      </c>
      <c r="G26" s="153" t="s">
        <v>142</v>
      </c>
      <c r="H26" s="160" t="s">
        <v>128</v>
      </c>
    </row>
    <row r="27" spans="1:8" x14ac:dyDescent="0.2">
      <c r="A27" s="246" t="s">
        <v>166</v>
      </c>
      <c r="B27" s="247"/>
      <c r="C27" s="140"/>
      <c r="D27" s="127"/>
      <c r="E27" s="127"/>
      <c r="F27" s="158"/>
      <c r="G27" s="158"/>
      <c r="H27" s="161"/>
    </row>
    <row r="28" spans="1:8" x14ac:dyDescent="0.2">
      <c r="A28" s="205" t="s">
        <v>167</v>
      </c>
      <c r="B28" s="5">
        <v>25020</v>
      </c>
      <c r="C28" s="138"/>
      <c r="D28" s="125">
        <v>3259</v>
      </c>
      <c r="E28" s="150">
        <v>13416</v>
      </c>
      <c r="F28" s="153">
        <v>2584</v>
      </c>
      <c r="G28" s="153" t="s">
        <v>142</v>
      </c>
      <c r="H28" s="160" t="s">
        <v>128</v>
      </c>
    </row>
    <row r="29" spans="1:8" x14ac:dyDescent="0.2">
      <c r="A29" s="205" t="s">
        <v>212</v>
      </c>
      <c r="B29" s="5">
        <v>64177</v>
      </c>
      <c r="C29" s="138"/>
      <c r="D29" s="125">
        <v>5606</v>
      </c>
      <c r="E29" s="150">
        <v>18782</v>
      </c>
      <c r="F29" s="153">
        <v>4145</v>
      </c>
      <c r="G29" s="151" t="s">
        <v>142</v>
      </c>
      <c r="H29" s="160" t="s">
        <v>128</v>
      </c>
    </row>
    <row r="30" spans="1:8" x14ac:dyDescent="0.2">
      <c r="A30" s="205" t="s">
        <v>168</v>
      </c>
      <c r="B30" s="5">
        <v>79757</v>
      </c>
      <c r="C30" s="138"/>
      <c r="D30" s="125">
        <v>6236</v>
      </c>
      <c r="E30" s="150">
        <v>6724</v>
      </c>
      <c r="F30" s="153">
        <v>840</v>
      </c>
      <c r="G30" s="151" t="s">
        <v>142</v>
      </c>
      <c r="H30" s="160" t="s">
        <v>128</v>
      </c>
    </row>
    <row r="31" spans="1:8" x14ac:dyDescent="0.2">
      <c r="A31" s="202" t="s">
        <v>169</v>
      </c>
      <c r="B31" s="5"/>
      <c r="C31" s="138"/>
      <c r="D31" s="125">
        <v>6601</v>
      </c>
      <c r="E31" s="150">
        <v>6426</v>
      </c>
      <c r="F31" s="153">
        <v>1062</v>
      </c>
      <c r="G31" s="151" t="s">
        <v>142</v>
      </c>
      <c r="H31" s="160" t="s">
        <v>128</v>
      </c>
    </row>
    <row r="32" spans="1:8" x14ac:dyDescent="0.2">
      <c r="A32" s="202" t="s">
        <v>213</v>
      </c>
      <c r="B32" s="5"/>
      <c r="C32" s="138"/>
      <c r="D32" s="125"/>
      <c r="E32" s="150">
        <v>73474</v>
      </c>
      <c r="F32" s="153">
        <v>8869</v>
      </c>
      <c r="G32" s="151" t="s">
        <v>142</v>
      </c>
      <c r="H32" s="160" t="s">
        <v>128</v>
      </c>
    </row>
    <row r="33" spans="1:9" x14ac:dyDescent="0.2">
      <c r="A33" s="206" t="s">
        <v>92</v>
      </c>
      <c r="B33" s="5">
        <v>17213</v>
      </c>
      <c r="C33" s="138"/>
      <c r="D33" s="125">
        <v>455</v>
      </c>
      <c r="E33" s="150">
        <v>7538</v>
      </c>
      <c r="F33" s="153">
        <v>1062</v>
      </c>
      <c r="G33" s="153" t="s">
        <v>142</v>
      </c>
      <c r="H33" s="160" t="s">
        <v>128</v>
      </c>
    </row>
    <row r="34" spans="1:9" x14ac:dyDescent="0.2">
      <c r="A34" s="246" t="s">
        <v>21</v>
      </c>
      <c r="B34" s="247"/>
      <c r="C34" s="140"/>
      <c r="D34" s="127"/>
      <c r="E34" s="127"/>
      <c r="F34" s="158"/>
      <c r="G34" s="158"/>
      <c r="H34" s="161"/>
    </row>
    <row r="35" spans="1:9" hidden="1" x14ac:dyDescent="0.2">
      <c r="A35" s="116" t="s">
        <v>0</v>
      </c>
      <c r="B35" s="5"/>
      <c r="C35" s="141"/>
      <c r="D35" s="128"/>
      <c r="E35" s="128"/>
      <c r="F35" s="159"/>
      <c r="G35" s="159"/>
      <c r="H35" s="162"/>
    </row>
    <row r="36" spans="1:9" x14ac:dyDescent="0.2">
      <c r="A36" s="116" t="s">
        <v>42</v>
      </c>
      <c r="B36" s="5">
        <v>185</v>
      </c>
      <c r="C36" s="138"/>
      <c r="D36" s="132" t="s">
        <v>142</v>
      </c>
      <c r="E36" s="151"/>
      <c r="F36" s="151" t="s">
        <v>142</v>
      </c>
      <c r="G36" s="151" t="s">
        <v>142</v>
      </c>
      <c r="H36" s="160" t="s">
        <v>128</v>
      </c>
    </row>
    <row r="37" spans="1:9" x14ac:dyDescent="0.2">
      <c r="A37" s="246" t="s">
        <v>22</v>
      </c>
      <c r="B37" s="247"/>
      <c r="C37" s="139"/>
      <c r="D37" s="126"/>
      <c r="E37" s="126"/>
      <c r="F37" s="157"/>
      <c r="G37" s="157"/>
      <c r="H37" s="161"/>
    </row>
    <row r="38" spans="1:9" hidden="1" x14ac:dyDescent="0.2">
      <c r="A38" s="116" t="s">
        <v>0</v>
      </c>
      <c r="B38" s="5"/>
      <c r="C38" s="141"/>
      <c r="D38" s="128"/>
      <c r="E38" s="128"/>
      <c r="F38" s="159"/>
      <c r="G38" s="159"/>
      <c r="H38" s="162"/>
    </row>
    <row r="39" spans="1:9" x14ac:dyDescent="0.2">
      <c r="A39" s="116" t="s">
        <v>42</v>
      </c>
      <c r="B39" s="5">
        <v>0</v>
      </c>
      <c r="C39" s="141"/>
      <c r="D39" s="128"/>
      <c r="E39" s="152"/>
      <c r="F39" s="151" t="s">
        <v>142</v>
      </c>
      <c r="G39" s="151" t="s">
        <v>142</v>
      </c>
      <c r="H39" s="152" t="s">
        <v>128</v>
      </c>
    </row>
    <row r="40" spans="1:9" x14ac:dyDescent="0.2">
      <c r="A40" s="246" t="s">
        <v>114</v>
      </c>
      <c r="B40" s="247"/>
      <c r="C40" s="140"/>
      <c r="D40" s="127"/>
      <c r="E40" s="127"/>
      <c r="F40" s="158"/>
      <c r="G40" s="158"/>
      <c r="H40" s="161"/>
    </row>
    <row r="41" spans="1:9" x14ac:dyDescent="0.2">
      <c r="A41" s="114" t="s">
        <v>88</v>
      </c>
      <c r="B41" s="5">
        <v>44642</v>
      </c>
      <c r="C41" s="138"/>
      <c r="D41" s="125">
        <v>3038</v>
      </c>
      <c r="E41" s="216">
        <v>26710</v>
      </c>
      <c r="F41" s="153">
        <v>3256</v>
      </c>
      <c r="G41" s="151" t="s">
        <v>142</v>
      </c>
      <c r="H41" s="160" t="s">
        <v>128</v>
      </c>
      <c r="I41" s="4"/>
    </row>
    <row r="42" spans="1:9" x14ac:dyDescent="0.2">
      <c r="A42" s="114" t="s">
        <v>89</v>
      </c>
      <c r="B42" s="5">
        <v>1797</v>
      </c>
      <c r="C42" s="138"/>
      <c r="D42" s="125">
        <v>588</v>
      </c>
      <c r="E42" s="216">
        <v>2126</v>
      </c>
      <c r="F42" s="153">
        <v>597</v>
      </c>
      <c r="G42" s="151" t="s">
        <v>142</v>
      </c>
      <c r="H42" s="160" t="s">
        <v>128</v>
      </c>
    </row>
    <row r="43" spans="1:9" x14ac:dyDescent="0.2">
      <c r="A43" s="130" t="s">
        <v>135</v>
      </c>
      <c r="B43" s="5"/>
      <c r="C43" s="142"/>
      <c r="D43" s="5">
        <v>5622</v>
      </c>
      <c r="E43" s="217">
        <v>42053</v>
      </c>
      <c r="F43" s="154">
        <v>7288</v>
      </c>
      <c r="G43" s="151" t="s">
        <v>142</v>
      </c>
      <c r="H43" s="163" t="s">
        <v>128</v>
      </c>
    </row>
    <row r="44" spans="1:9" x14ac:dyDescent="0.2">
      <c r="A44" s="130" t="s">
        <v>136</v>
      </c>
      <c r="B44" s="5"/>
      <c r="C44" s="142"/>
      <c r="D44" s="5">
        <v>1356</v>
      </c>
      <c r="E44" s="217">
        <v>13288</v>
      </c>
      <c r="F44" s="154">
        <v>912</v>
      </c>
      <c r="G44" s="151" t="s">
        <v>142</v>
      </c>
      <c r="H44" s="163" t="s">
        <v>128</v>
      </c>
    </row>
    <row r="45" spans="1:9" ht="13.5" thickBot="1" x14ac:dyDescent="0.25">
      <c r="A45" s="240" t="s">
        <v>155</v>
      </c>
      <c r="B45" s="241"/>
      <c r="C45" s="128"/>
      <c r="D45" s="128"/>
      <c r="E45" s="240"/>
      <c r="F45" s="241"/>
      <c r="G45" s="241"/>
      <c r="H45" s="161"/>
    </row>
    <row r="46" spans="1:9" x14ac:dyDescent="0.2">
      <c r="A46" s="168" t="s">
        <v>156</v>
      </c>
      <c r="B46" s="167"/>
      <c r="C46" s="167"/>
      <c r="D46" s="167"/>
      <c r="E46" s="167"/>
      <c r="F46" s="167" t="s">
        <v>142</v>
      </c>
      <c r="G46" s="151" t="s">
        <v>142</v>
      </c>
      <c r="H46" s="163"/>
    </row>
    <row r="47" spans="1:9" ht="13.5" thickBot="1" x14ac:dyDescent="0.25">
      <c r="A47" s="169" t="s">
        <v>157</v>
      </c>
      <c r="B47" s="119"/>
      <c r="C47" s="119"/>
      <c r="D47" s="119"/>
      <c r="E47" s="119">
        <v>10000</v>
      </c>
      <c r="F47" s="119">
        <v>10000</v>
      </c>
      <c r="G47" s="151" t="s">
        <v>142</v>
      </c>
      <c r="H47" s="163" t="s">
        <v>128</v>
      </c>
    </row>
    <row r="48" spans="1:9" x14ac:dyDescent="0.2">
      <c r="A48" s="242" t="s">
        <v>60</v>
      </c>
      <c r="B48" s="243"/>
      <c r="C48" s="129"/>
      <c r="D48" s="129"/>
      <c r="E48" s="129"/>
      <c r="F48" s="158"/>
      <c r="G48" s="158"/>
      <c r="H48" s="161"/>
    </row>
    <row r="49" spans="1:9" x14ac:dyDescent="0.2">
      <c r="A49" s="117" t="s">
        <v>61</v>
      </c>
      <c r="B49" s="5">
        <v>1.3</v>
      </c>
      <c r="C49" s="125">
        <v>1.3</v>
      </c>
      <c r="D49" s="125">
        <v>1.3</v>
      </c>
      <c r="E49" s="153">
        <v>1.3</v>
      </c>
      <c r="F49" s="153">
        <v>1.3</v>
      </c>
      <c r="G49" s="153">
        <v>1.3</v>
      </c>
      <c r="H49" s="160"/>
    </row>
    <row r="50" spans="1:9" x14ac:dyDescent="0.2">
      <c r="A50" s="242" t="s">
        <v>99</v>
      </c>
      <c r="B50" s="243"/>
      <c r="C50" s="129"/>
      <c r="D50" s="129"/>
      <c r="E50" s="129"/>
      <c r="F50" s="158"/>
      <c r="G50" s="158"/>
      <c r="H50" s="161"/>
    </row>
    <row r="51" spans="1:9" x14ac:dyDescent="0.2">
      <c r="A51" s="118" t="s">
        <v>96</v>
      </c>
      <c r="B51" s="5">
        <v>7</v>
      </c>
      <c r="C51" s="5">
        <v>7</v>
      </c>
      <c r="D51" s="5">
        <v>7</v>
      </c>
      <c r="E51" s="154">
        <v>7</v>
      </c>
      <c r="F51" s="154">
        <v>7</v>
      </c>
      <c r="G51" s="154">
        <v>7</v>
      </c>
      <c r="H51" s="164"/>
    </row>
    <row r="52" spans="1:9" x14ac:dyDescent="0.2">
      <c r="A52" s="118" t="s">
        <v>97</v>
      </c>
      <c r="B52" s="5">
        <v>8</v>
      </c>
      <c r="C52" s="5">
        <v>8</v>
      </c>
      <c r="D52" s="5">
        <v>8</v>
      </c>
      <c r="E52" s="154">
        <v>8</v>
      </c>
      <c r="F52" s="154">
        <v>8</v>
      </c>
      <c r="G52" s="154">
        <v>8</v>
      </c>
      <c r="H52" s="164"/>
    </row>
    <row r="53" spans="1:9" x14ac:dyDescent="0.2">
      <c r="A53" s="207" t="s">
        <v>170</v>
      </c>
      <c r="B53" s="5">
        <v>7</v>
      </c>
      <c r="C53" s="5">
        <v>7</v>
      </c>
      <c r="D53" s="5">
        <v>7</v>
      </c>
      <c r="E53" s="154">
        <v>7</v>
      </c>
      <c r="F53" s="154">
        <v>7</v>
      </c>
      <c r="G53" s="154">
        <v>7</v>
      </c>
      <c r="H53" s="164"/>
    </row>
    <row r="54" spans="1:9" x14ac:dyDescent="0.2">
      <c r="A54" s="207" t="s">
        <v>171</v>
      </c>
      <c r="B54" s="5">
        <v>8</v>
      </c>
      <c r="C54" s="5">
        <v>8</v>
      </c>
      <c r="D54" s="5">
        <v>8</v>
      </c>
      <c r="E54" s="154">
        <v>8</v>
      </c>
      <c r="F54" s="154">
        <v>8</v>
      </c>
      <c r="G54" s="154">
        <v>8</v>
      </c>
      <c r="H54" s="164"/>
    </row>
    <row r="55" spans="1:9" x14ac:dyDescent="0.2">
      <c r="A55" s="118" t="s">
        <v>98</v>
      </c>
      <c r="B55" s="5">
        <v>10</v>
      </c>
      <c r="C55" s="5">
        <v>10</v>
      </c>
      <c r="D55" s="5">
        <v>10</v>
      </c>
      <c r="E55" s="154">
        <v>10</v>
      </c>
      <c r="F55" s="154">
        <v>10</v>
      </c>
      <c r="G55" s="154">
        <v>10</v>
      </c>
      <c r="H55" s="164"/>
    </row>
    <row r="56" spans="1:9" x14ac:dyDescent="0.2">
      <c r="A56" s="118" t="s">
        <v>100</v>
      </c>
      <c r="B56" s="5">
        <v>3</v>
      </c>
      <c r="C56" s="5">
        <v>3</v>
      </c>
      <c r="D56" s="131" t="s">
        <v>142</v>
      </c>
      <c r="E56" s="152" t="s">
        <v>142</v>
      </c>
      <c r="F56" s="152" t="s">
        <v>142</v>
      </c>
      <c r="G56" s="152" t="s">
        <v>142</v>
      </c>
      <c r="H56" s="164"/>
    </row>
    <row r="57" spans="1:9" x14ac:dyDescent="0.2">
      <c r="A57" s="118" t="s">
        <v>101</v>
      </c>
      <c r="B57" s="5">
        <v>15</v>
      </c>
      <c r="C57" s="5">
        <v>15</v>
      </c>
      <c r="D57" s="131" t="s">
        <v>142</v>
      </c>
      <c r="E57" s="152" t="s">
        <v>142</v>
      </c>
      <c r="F57" s="152" t="s">
        <v>142</v>
      </c>
      <c r="G57" s="152" t="s">
        <v>142</v>
      </c>
      <c r="H57" s="164"/>
    </row>
    <row r="58" spans="1:9" x14ac:dyDescent="0.2">
      <c r="A58" s="118" t="s">
        <v>102</v>
      </c>
      <c r="B58" s="5">
        <v>8</v>
      </c>
      <c r="C58" s="5">
        <v>8</v>
      </c>
      <c r="D58" s="131" t="s">
        <v>142</v>
      </c>
      <c r="E58" s="152" t="s">
        <v>142</v>
      </c>
      <c r="F58" s="152" t="s">
        <v>142</v>
      </c>
      <c r="G58" s="152" t="s">
        <v>142</v>
      </c>
      <c r="H58" s="164"/>
    </row>
    <row r="59" spans="1:9" x14ac:dyDescent="0.2">
      <c r="A59" s="118" t="s">
        <v>103</v>
      </c>
      <c r="B59" s="5">
        <v>12</v>
      </c>
      <c r="C59" s="5">
        <v>12</v>
      </c>
      <c r="D59" s="131" t="s">
        <v>142</v>
      </c>
      <c r="E59" s="152" t="s">
        <v>142</v>
      </c>
      <c r="F59" s="152" t="s">
        <v>142</v>
      </c>
      <c r="G59" s="152" t="s">
        <v>142</v>
      </c>
      <c r="H59" s="164"/>
    </row>
    <row r="60" spans="1:9" x14ac:dyDescent="0.2">
      <c r="A60" s="136" t="s">
        <v>104</v>
      </c>
      <c r="B60" s="137">
        <v>10</v>
      </c>
      <c r="C60" s="137">
        <v>10</v>
      </c>
      <c r="D60" s="137">
        <v>10</v>
      </c>
      <c r="E60" s="155">
        <v>10</v>
      </c>
      <c r="F60" s="155">
        <v>10</v>
      </c>
      <c r="G60" s="155">
        <v>10</v>
      </c>
      <c r="H60" s="165"/>
    </row>
    <row r="61" spans="1:9" ht="13.5" thickBot="1" x14ac:dyDescent="0.25">
      <c r="A61" s="119" t="s">
        <v>148</v>
      </c>
      <c r="B61" s="120"/>
      <c r="C61" s="120"/>
      <c r="D61" s="120">
        <v>14</v>
      </c>
      <c r="E61" s="156">
        <v>14</v>
      </c>
      <c r="F61" s="156">
        <v>14</v>
      </c>
      <c r="G61" s="156">
        <v>14</v>
      </c>
      <c r="H61" s="166"/>
    </row>
    <row r="62" spans="1:9" ht="13.5" thickBot="1" x14ac:dyDescent="0.25">
      <c r="A62" s="34"/>
    </row>
    <row r="63" spans="1:9" ht="13.5" thickBot="1" x14ac:dyDescent="0.25">
      <c r="A63" s="253" t="s">
        <v>221</v>
      </c>
      <c r="B63" s="250"/>
      <c r="C63" s="250"/>
      <c r="D63" s="250"/>
      <c r="E63" s="251">
        <v>422</v>
      </c>
      <c r="F63" s="252" t="s">
        <v>7</v>
      </c>
      <c r="G63" s="253" t="s">
        <v>228</v>
      </c>
      <c r="H63" s="253"/>
      <c r="I63" s="253"/>
    </row>
    <row r="64" spans="1:9" ht="13.5" thickBot="1" x14ac:dyDescent="0.25">
      <c r="A64" s="253" t="s">
        <v>222</v>
      </c>
      <c r="B64" s="250"/>
      <c r="C64" s="250"/>
      <c r="D64" s="250"/>
      <c r="E64" s="251">
        <v>128</v>
      </c>
      <c r="F64" s="252" t="s">
        <v>7</v>
      </c>
    </row>
    <row r="65" spans="1:7" x14ac:dyDescent="0.2">
      <c r="A65" s="214"/>
    </row>
    <row r="66" spans="1:7" ht="91.5" customHeight="1" x14ac:dyDescent="0.2">
      <c r="A66" s="218" t="s">
        <v>130</v>
      </c>
      <c r="B66" s="218"/>
      <c r="C66" s="122"/>
      <c r="D66" s="122"/>
      <c r="E66" s="135"/>
      <c r="F66" s="135"/>
      <c r="G66" s="148"/>
    </row>
  </sheetData>
  <mergeCells count="12">
    <mergeCell ref="E45:G45"/>
    <mergeCell ref="A50:B50"/>
    <mergeCell ref="A66:B66"/>
    <mergeCell ref="A2:A3"/>
    <mergeCell ref="A40:B40"/>
    <mergeCell ref="A48:B48"/>
    <mergeCell ref="A17:B17"/>
    <mergeCell ref="A20:B20"/>
    <mergeCell ref="A34:B34"/>
    <mergeCell ref="A37:B37"/>
    <mergeCell ref="A45:B45"/>
    <mergeCell ref="A27:B27"/>
  </mergeCells>
  <phoneticPr fontId="3" type="noConversion"/>
  <pageMargins left="0.75" right="0.75" top="1" bottom="1" header="0.5" footer="0.5"/>
  <pageSetup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85</vt:i4>
      </vt:variant>
    </vt:vector>
  </HeadingPairs>
  <TitlesOfParts>
    <vt:vector size="88" baseType="lpstr">
      <vt:lpstr>Instructions</vt:lpstr>
      <vt:lpstr>Finesse 11.6</vt:lpstr>
      <vt:lpstr>BW Data</vt:lpstr>
      <vt:lpstr>'Finesse 11.6'!Agent_Call_Wrap_Up_Time</vt:lpstr>
      <vt:lpstr>'Finesse 11.6'!Agent_Call_Wrap_Up_Time_v901</vt:lpstr>
      <vt:lpstr>'Finesse 11.6'!Agent_Statistics_Update_Interval_v801</vt:lpstr>
      <vt:lpstr>Agent_Task_Wrap_Up_Time</vt:lpstr>
      <vt:lpstr>'Finesse 11.6'!Average_Call_Duration</vt:lpstr>
      <vt:lpstr>'Finesse 11.6'!Average_Call_Duration_v901</vt:lpstr>
      <vt:lpstr>'Finesse 11.6'!Average_number_of_agents_per_Team</vt:lpstr>
      <vt:lpstr>'Finesse 11.6'!Average_number_of_agents_per_team_v901</vt:lpstr>
      <vt:lpstr>'Finesse 11.6'!Average_number_of_Skill_Groups_per_Agent_v901</vt:lpstr>
      <vt:lpstr>'Finesse 11.6'!Average_number_of_Skill_Groups_per_Supervisor</vt:lpstr>
      <vt:lpstr>Average_Task_Duration</vt:lpstr>
      <vt:lpstr>Avg_Agent_State_Changes_Per_Call_NoWrap</vt:lpstr>
      <vt:lpstr>Avg_Agent_State_Changes_Per_Call_NoWrap_v91</vt:lpstr>
      <vt:lpstr>Avg_Agent_State_Changes_Per_Call_Wrap</vt:lpstr>
      <vt:lpstr>Avg_Agent_State_Changes_Per_Call_Wrap_v91</vt:lpstr>
      <vt:lpstr>Avg_Agent_State_Changes_Per_Task_NoWrap</vt:lpstr>
      <vt:lpstr>Avg_agent_state_Changes_Per_Task_Wrap</vt:lpstr>
      <vt:lpstr>Avg_Number_Dialog_Events_Per_ConfCall</vt:lpstr>
      <vt:lpstr>Avg_Number_Dialog_Events_Per_IncomingCall</vt:lpstr>
      <vt:lpstr>Avg_Number_Dialog_Events_Per_OutCall</vt:lpstr>
      <vt:lpstr>Avg_Number_Dialog_Events_Per_XferCall</vt:lpstr>
      <vt:lpstr>Bandwidth_Confidence_Factor</vt:lpstr>
      <vt:lpstr>Bandwidth_Confidence_Factor_v9</vt:lpstr>
      <vt:lpstr>Bandwidth_Confidence_Factor_v91</vt:lpstr>
      <vt:lpstr>'Finesse 11.6'!BHCA</vt:lpstr>
      <vt:lpstr>'Finesse 11.6'!BHCA_v901</vt:lpstr>
      <vt:lpstr>BHTA</vt:lpstr>
      <vt:lpstr>Bytes_Per_Call_Variable_Value</vt:lpstr>
      <vt:lpstr>'Finesse 11.6'!Calls_Per_Second</vt:lpstr>
      <vt:lpstr>'Finesse 11.6'!Calls_Per_Second_v901</vt:lpstr>
      <vt:lpstr>'Finesse 11.6'!Max_Login_Time_All_Agents</vt:lpstr>
      <vt:lpstr>'Finesse 11.6'!Max_Login_Time_All_Users</vt:lpstr>
      <vt:lpstr>'Finesse 11.6'!Maximum_Login_Time_for_all_users</vt:lpstr>
      <vt:lpstr>'Finesse 11.6'!Number_of_Agent_Statistics_v801</vt:lpstr>
      <vt:lpstr>'Finesse 11.6'!Number_of_Agents</vt:lpstr>
      <vt:lpstr>'Finesse 11.6'!Number_of_All_Agents_Monitors_v801</vt:lpstr>
      <vt:lpstr>Number_of_Call_Variables</vt:lpstr>
      <vt:lpstr>Number_of_Call_Variables_v91</vt:lpstr>
      <vt:lpstr>Number_of_Configured_Call_variables</vt:lpstr>
      <vt:lpstr>'Finesse 11.6'!Number_of_Configured_ECC_variables</vt:lpstr>
      <vt:lpstr>'Finesse 11.6'!Number_of_Configured_ECC_variables_v901</vt:lpstr>
      <vt:lpstr>Number_of_mc_agents</vt:lpstr>
      <vt:lpstr>Number_of_Multi_Channel_Agents</vt:lpstr>
      <vt:lpstr>Number_of_Non_Voice_MRDs</vt:lpstr>
      <vt:lpstr>Number_of_nonSSO_agents</vt:lpstr>
      <vt:lpstr>Number_of_nonSSO_supervisors</vt:lpstr>
      <vt:lpstr>Number_of_nonvoice_mrds</vt:lpstr>
      <vt:lpstr>'Finesse 11.6'!Number_of_Skill_Group_Statistics_v801</vt:lpstr>
      <vt:lpstr>'Finesse 11.6'!Number_of_Skill_Groups_per_Agent_v801</vt:lpstr>
      <vt:lpstr>'Finesse 11.6'!Number_of_Skill_Groups_per_Supervisor_v901</vt:lpstr>
      <vt:lpstr>Number_of_Skill_Groups_PG</vt:lpstr>
      <vt:lpstr>Number_of_SSO_agents</vt:lpstr>
      <vt:lpstr>Number_of_SSO_supervisors</vt:lpstr>
      <vt:lpstr>'Finesse 11.6'!Number_of_Supervisors</vt:lpstr>
      <vt:lpstr>Number_of_Supervisors_v10</vt:lpstr>
      <vt:lpstr>'Finesse 11.6'!Number_of_Supervisors_v901</vt:lpstr>
      <vt:lpstr>'Finesse 11.6'!Percentage_Calls_Silently_Monitored</vt:lpstr>
      <vt:lpstr>Percentage_of_BargedCalls</vt:lpstr>
      <vt:lpstr>'Finesse 11.6'!Percentage_of_Calls_that_are_silently_monitored</vt:lpstr>
      <vt:lpstr>'Finesse 11.6'!Percentage_of_Consultative_Conference_Calls</vt:lpstr>
      <vt:lpstr>'Finesse 11.6'!Percentage_of_Consultative_Conference_Calls_v901</vt:lpstr>
      <vt:lpstr>'Finesse 11.6'!Percentage_of_Consultative_Transfer_Calls</vt:lpstr>
      <vt:lpstr>'Finesse 11.6'!Percentage_of_Consultative_Transfer_Calls_v901</vt:lpstr>
      <vt:lpstr>'Finesse 11.6'!Percentage_of_Incoming_Straight_Calls</vt:lpstr>
      <vt:lpstr>'Finesse 11.6'!Percentage_of_Incoming_Straight_Calls_v901</vt:lpstr>
      <vt:lpstr>Percentage_of_Incoming_Straight_Tasks</vt:lpstr>
      <vt:lpstr>Percentage_of_InterceptedCalls</vt:lpstr>
      <vt:lpstr>Percentage_of_Interrupted_Tasks</vt:lpstr>
      <vt:lpstr>'Finesse 11.6'!Percentage_of_Outgoing_Straight_Calls</vt:lpstr>
      <vt:lpstr>'Finesse 11.6'!Percentage_of_Outgoing_Straight_Calls_v901</vt:lpstr>
      <vt:lpstr>Percentage_of_Paused_and_Resumed_Tasks</vt:lpstr>
      <vt:lpstr>'Finesse 11.6'!Percentage_of_Single_Step_Transfer_Calls_v801</vt:lpstr>
      <vt:lpstr>Percentage_of_SingleStep_Transfer_Calls</vt:lpstr>
      <vt:lpstr>Percentage_of_Transferred_Tasks</vt:lpstr>
      <vt:lpstr>Skill_Group_Refresh_Rate</vt:lpstr>
      <vt:lpstr>Skill_Group_Refresh_Rate_v91</vt:lpstr>
      <vt:lpstr>'Finesse 11.6'!Skill_Group_Update_Interval_v801</vt:lpstr>
      <vt:lpstr>'Finesse 11.6'!Sum_of_all_Call_Variable_Values</vt:lpstr>
      <vt:lpstr>'Finesse 11.6'!Sum_of_all_Call_Variable_Values_v901</vt:lpstr>
      <vt:lpstr>'Finesse 11.6'!Sum_of_all_ECC_Variable_Names</vt:lpstr>
      <vt:lpstr>'Finesse 11.6'!Sum_of_all_ECC_Variable_Names_v901</vt:lpstr>
      <vt:lpstr>'Finesse 11.6'!Sum_of_all_ECC_Variable_Values</vt:lpstr>
      <vt:lpstr>'Finesse 11.6'!Sum_of_all_ECC_Variable_Values_v901</vt:lpstr>
      <vt:lpstr>Tasks_Per_Second</vt:lpstr>
      <vt:lpstr>'Finesse 11.6'!Total</vt:lpstr>
    </vt:vector>
  </TitlesOfParts>
  <Company>Cisco Systems,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elalo</dc:creator>
  <cp:lastModifiedBy>rajeshwk</cp:lastModifiedBy>
  <cp:lastPrinted>2005-06-13T18:47:50Z</cp:lastPrinted>
  <dcterms:created xsi:type="dcterms:W3CDTF">2005-06-07T14:17:23Z</dcterms:created>
  <dcterms:modified xsi:type="dcterms:W3CDTF">2017-10-04T05:37:27Z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