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xmp" ContentType="application/rdf+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veraXmpId" Type="http://ns.vera.com/classification/1.0/" Target="vera/vera.xmp"/><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mc:AlternateContent xmlns:mc="http://schemas.openxmlformats.org/markup-compatibility/2006">
    <mc:Choice Requires="x15">
      <x15ac:absPath xmlns:x15ac="http://schemas.microsoft.com/office/spreadsheetml/2010/11/ac" url="C:\Users\ravkota\Documents\"/>
    </mc:Choice>
  </mc:AlternateContent>
  <xr:revisionPtr revIDLastSave="0" documentId="13_ncr:1_{1F35D36E-B8B7-4648-B683-9C632ACBB5FF}" xr6:coauthVersionLast="46" xr6:coauthVersionMax="46" xr10:uidLastSave="{00000000-0000-0000-0000-000000000000}"/>
  <bookViews>
    <workbookView xWindow="-120" yWindow="-120" windowWidth="20730" windowHeight="11160" activeTab="2" xr2:uid="{00000000-000D-0000-FFFF-FFFF00000000}"/>
  </bookViews>
  <sheets>
    <sheet name="Instructions" sheetId="15" r:id="rId1"/>
    <sheet name="Sheet1" sheetId="18" r:id="rId2"/>
    <sheet name="Finesse 12.6" sheetId="17" r:id="rId3"/>
    <sheet name="BW Data" sheetId="5" r:id="rId4"/>
  </sheets>
  <definedNames>
    <definedName name="_xlnm._FilterDatabase" localSheetId="2" hidden="1">'Finesse 12.6'!$A$7:$D$63</definedName>
    <definedName name="Agent_Call_Wrap_Up_Time" localSheetId="2">'Finesse 12.6'!$B$21</definedName>
    <definedName name="Agent_Call_Wrap_Up_Time_v70" localSheetId="2">#REF!</definedName>
    <definedName name="Agent_Call_Wrap_Up_Time_v70">#REF!</definedName>
    <definedName name="Agent_Call_Wrap_Up_Time_v711" localSheetId="2">#REF!</definedName>
    <definedName name="Agent_Call_Wrap_Up_Time_v711">#REF!</definedName>
    <definedName name="Agent_Call_Wrap_Up_Time_v721" localSheetId="2">#REF!</definedName>
    <definedName name="Agent_Call_Wrap_Up_Time_v721">#REF!</definedName>
    <definedName name="Agent_Call_Wrap_Up_Time_v751" localSheetId="2">#REF!</definedName>
    <definedName name="Agent_Call_Wrap_Up_Time_v751">#REF!</definedName>
    <definedName name="Agent_Call_Wrap_Up_Time_v901" localSheetId="2">'Finesse 12.6'!$B$21</definedName>
    <definedName name="Agent_Call_Wrap_Up_Time_v901">#REF!</definedName>
    <definedName name="Agent_Statistics_Update_Interval_v5x" localSheetId="2">#REF!</definedName>
    <definedName name="Agent_Statistics_Update_Interval_v5x">#REF!</definedName>
    <definedName name="Agent_Statistics_Update_Interval_v60" localSheetId="2">#REF!</definedName>
    <definedName name="Agent_Statistics_Update_Interval_v60">#REF!</definedName>
    <definedName name="Agent_Statistics_Update_Interval_v70" localSheetId="2">#REF!</definedName>
    <definedName name="Agent_Statistics_Update_Interval_v70">#REF!</definedName>
    <definedName name="Agent_Statistics_Update_Interval_v711" localSheetId="2">#REF!</definedName>
    <definedName name="Agent_Statistics_Update_Interval_v711">#REF!</definedName>
    <definedName name="Agent_Statistics_Update_Interval_v721" localSheetId="2">#REF!</definedName>
    <definedName name="Agent_Statistics_Update_Interval_v721">#REF!</definedName>
    <definedName name="Agent_Statistics_Update_Interval_v751" localSheetId="2">#REF!</definedName>
    <definedName name="Agent_Statistics_Update_Interval_v751">#REF!</definedName>
    <definedName name="Agent_Statistics_Update_Interval_v801" localSheetId="2">'Finesse 12.6'!$B$54</definedName>
    <definedName name="Agent_Statistics_Update_Interval_v801">#REF!</definedName>
    <definedName name="Agent_Task_Wrap_Up_Time">'Finesse 12.6'!$B$26</definedName>
    <definedName name="Average_Call_Duration" localSheetId="2">'Finesse 12.6'!$B$22</definedName>
    <definedName name="Average_Call_Duration_v5x" localSheetId="2">#REF!</definedName>
    <definedName name="Average_Call_Duration_v5x">#REF!</definedName>
    <definedName name="Average_Call_Duration_v60" localSheetId="2">#REF!</definedName>
    <definedName name="Average_Call_Duration_v60">#REF!</definedName>
    <definedName name="Average_Call_Duration_v70" localSheetId="2">#REF!</definedName>
    <definedName name="Average_Call_Duration_v70">#REF!</definedName>
    <definedName name="Average_Call_Duration_v711" localSheetId="2">#REF!</definedName>
    <definedName name="Average_Call_Duration_v711">#REF!</definedName>
    <definedName name="Average_Call_Duration_v721" localSheetId="2">#REF!</definedName>
    <definedName name="Average_Call_Duration_v721">#REF!</definedName>
    <definedName name="Average_Call_Duration_v751" localSheetId="2">#REF!</definedName>
    <definedName name="Average_Call_Duration_v751">#REF!</definedName>
    <definedName name="Average_Call_Duration_v901" localSheetId="2">'Finesse 12.6'!$B$22</definedName>
    <definedName name="Average_Call_Duration_v901">#REF!</definedName>
    <definedName name="Average_number_of_Agent_Skill_Groups_Monitored_by_a_Supervisor_v5x" localSheetId="2">#REF!</definedName>
    <definedName name="Average_number_of_Agent_Skill_Groups_Monitored_by_a_Supervisor_v5x">#REF!</definedName>
    <definedName name="Average_number_of_Agent_Skill_Groups_Monitored_by_a_Supervisor_v60" localSheetId="2">#REF!</definedName>
    <definedName name="Average_number_of_Agent_Skill_Groups_Monitored_by_a_Supervisor_v60">#REF!</definedName>
    <definedName name="Average_number_of_Agent_Skill_Groups_Monitored_by_a_Supervisor_v70" localSheetId="2">#REF!</definedName>
    <definedName name="Average_number_of_Agent_Skill_Groups_Monitored_by_a_Supervisor_v70">#REF!</definedName>
    <definedName name="Average_number_of_Agent_Skill_Groups_Monitored_by_a_Supervisor_v711" localSheetId="2">#REF!</definedName>
    <definedName name="Average_number_of_Agent_Skill_Groups_Monitored_by_a_Supervisor_v711">#REF!</definedName>
    <definedName name="Average_number_of_Agent_Skill_Groups_Monitored_by_a_Supervisor_v721" localSheetId="2">#REF!</definedName>
    <definedName name="Average_number_of_Agent_Skill_Groups_Monitored_by_a_Supervisor_v721">#REF!</definedName>
    <definedName name="Average_number_of_Agent_Skill_Groups_Monitored_by_a_Supervisor_v751" localSheetId="2">#REF!</definedName>
    <definedName name="Average_number_of_Agent_Skill_Groups_Monitored_by_a_Supervisor_v751">#REF!</definedName>
    <definedName name="Average_number_of_Agent_Skill_Groups_Monitored_by_a_Supervisor_v901" localSheetId="2">'Finesse 12.6'!#REF!</definedName>
    <definedName name="Average_number_of_Agent_Skill_Groups_Monitored_by_a_Supervisor_v901">#REF!</definedName>
    <definedName name="Average_number_of_agents_per_Team" localSheetId="2">'Finesse 12.6'!$B$64</definedName>
    <definedName name="Average_number_of_agents_per_team_v901" localSheetId="2">'Finesse 12.6'!$B$64</definedName>
    <definedName name="Average_number_of_agents_per_team_v901">#REF!</definedName>
    <definedName name="Average_number_of_Skill_Groups_per_Agent_v5x" localSheetId="2">#REF!</definedName>
    <definedName name="Average_number_of_Skill_Groups_per_Agent_v5x">#REF!</definedName>
    <definedName name="Average_number_of_Skill_Groups_per_Agent_v60" localSheetId="2">#REF!</definedName>
    <definedName name="Average_number_of_Skill_Groups_per_Agent_v60">#REF!</definedName>
    <definedName name="Average_number_of_Skill_Groups_per_Agent_v70" localSheetId="2">#REF!</definedName>
    <definedName name="Average_number_of_Skill_Groups_per_Agent_v70">#REF!</definedName>
    <definedName name="Average_number_of_Skill_Groups_per_Agent_v711" localSheetId="2">#REF!</definedName>
    <definedName name="Average_number_of_Skill_Groups_per_Agent_v711">#REF!</definedName>
    <definedName name="Average_number_of_Skill_Groups_per_Agent_v721" localSheetId="2">#REF!</definedName>
    <definedName name="Average_number_of_Skill_Groups_per_Agent_v721">#REF!</definedName>
    <definedName name="Average_number_of_Skill_Groups_per_Agent_v751" localSheetId="2">#REF!</definedName>
    <definedName name="Average_number_of_Skill_Groups_per_Agent_v751">#REF!</definedName>
    <definedName name="Average_number_of_Skill_Groups_per_Agent_v901" localSheetId="2">'Finesse 12.6'!$B$47</definedName>
    <definedName name="Average_number_of_Skill_Groups_per_Agent_v901">#REF!</definedName>
    <definedName name="Average_number_of_Skill_Groups_per_Supervisor" localSheetId="2">'Finesse 12.6'!$B$48</definedName>
    <definedName name="Average_Task_Duration">'Finesse 12.6'!$B$27</definedName>
    <definedName name="Avg_Agent_State_Changes_Per_Call_NoWrap">'BW Data'!$B$65</definedName>
    <definedName name="Avg_Agent_State_Changes_Per_Call_NoWrap_v91">'BW Data'!$D$65</definedName>
    <definedName name="Avg_Agent_State_Changes_Per_Call_Wrap">'BW Data'!$B$66</definedName>
    <definedName name="Avg_Agent_State_Changes_Per_Call_Wrap_v91">'BW Data'!$D$66</definedName>
    <definedName name="Avg_Agent_State_Changes_Per_Task_NoWrap">'BW Data'!$E$67</definedName>
    <definedName name="Avg_agent_state_Changes_Per_Task_Wrap">'BW Data'!$E$68</definedName>
    <definedName name="Avg_Number_Dialog_Events_Per_ConfCall">'BW Data'!$B$71</definedName>
    <definedName name="Avg_Number_Dialog_Events_Per_IncomingCall">'BW Data'!$B$70</definedName>
    <definedName name="Avg_Number_Dialog_Events_Per_OutCall">'BW Data'!$B$72</definedName>
    <definedName name="Avg_Number_Dialog_Events_Per_XferCall">'BW Data'!$B$73</definedName>
    <definedName name="Bandwidth_Confidence_Factor">'BW Data'!$E$63</definedName>
    <definedName name="Bandwidth_Confidence_Factor_CCAI">'BW Data'!$H$63</definedName>
    <definedName name="Bandwidth_Confidence_Factor_v5x" localSheetId="2">'BW Data'!#REF!</definedName>
    <definedName name="Bandwidth_Confidence_Factor_v5x">'BW Data'!#REF!</definedName>
    <definedName name="Bandwidth_Confidence_Factor_v60" localSheetId="2">'BW Data'!#REF!</definedName>
    <definedName name="Bandwidth_Confidence_Factor_v60">'BW Data'!#REF!</definedName>
    <definedName name="Bandwidth_Confidence_Factor_v70_Security_On" localSheetId="2">'BW Data'!#REF!</definedName>
    <definedName name="Bandwidth_Confidence_Factor_v70_Security_On">'BW Data'!#REF!</definedName>
    <definedName name="Bandwidth_Confidence_Factor_v711_Security_Off" localSheetId="2">'BW Data'!#REF!</definedName>
    <definedName name="Bandwidth_Confidence_Factor_v711_Security_Off">'BW Data'!#REF!</definedName>
    <definedName name="Bandwidth_Confidence_Factor_v711_Security_On" localSheetId="2">'BW Data'!#REF!</definedName>
    <definedName name="Bandwidth_Confidence_Factor_v711_Security_On">'BW Data'!#REF!</definedName>
    <definedName name="Bandwidth_Confidence_Factor_v721_Security_Off" localSheetId="2">'BW Data'!#REF!</definedName>
    <definedName name="Bandwidth_Confidence_Factor_v721_Security_Off">'BW Data'!#REF!</definedName>
    <definedName name="Bandwidth_Confidence_Factor_v721_Security_On" localSheetId="2">'BW Data'!#REF!</definedName>
    <definedName name="Bandwidth_Confidence_Factor_v721_Security_On">'BW Data'!#REF!</definedName>
    <definedName name="Bandwidth_Confidence_Factor_v751_Security_Off" localSheetId="2">'BW Data'!#REF!</definedName>
    <definedName name="Bandwidth_Confidence_Factor_v751_Security_Off">'BW Data'!#REF!</definedName>
    <definedName name="Bandwidth_Confidence_Factor_v751_Security_On" localSheetId="2">'BW Data'!#REF!</definedName>
    <definedName name="Bandwidth_Confidence_Factor_v751_Security_On">'BW Data'!#REF!</definedName>
    <definedName name="Bandwidth_Confidence_Factor_v9">'BW Data'!$B$63</definedName>
    <definedName name="Bandwidth_Confidence_Factor_v91">'BW Data'!$D$63</definedName>
    <definedName name="BHCA" localSheetId="2">'Finesse 12.6'!$B$20</definedName>
    <definedName name="BHCA_v5x" localSheetId="2">#REF!</definedName>
    <definedName name="BHCA_v5x">#REF!</definedName>
    <definedName name="BHCA_v60" localSheetId="2">#REF!</definedName>
    <definedName name="BHCA_v60">#REF!</definedName>
    <definedName name="BHCA_v70" localSheetId="2">#REF!</definedName>
    <definedName name="BHCA_v70">#REF!</definedName>
    <definedName name="BHCA_v711" localSheetId="2">#REF!</definedName>
    <definedName name="BHCA_v711">#REF!</definedName>
    <definedName name="BHCA_v721" localSheetId="2">#REF!</definedName>
    <definedName name="BHCA_v721">#REF!</definedName>
    <definedName name="BHCA_v751" localSheetId="2">#REF!</definedName>
    <definedName name="BHCA_v751">#REF!</definedName>
    <definedName name="BHCA_v901" localSheetId="2">'Finesse 12.6'!$B$20</definedName>
    <definedName name="BHCA_v901">#REF!</definedName>
    <definedName name="BHTA">'Finesse 12.6'!$B$25</definedName>
    <definedName name="Bytes_Per_Call_Variable_Value">'BW Data'!$D$75</definedName>
    <definedName name="Calls_Per_Second" localSheetId="2">'Finesse 12.6'!$B$23</definedName>
    <definedName name="Calls_Per_Second_v5x" localSheetId="2">#REF!</definedName>
    <definedName name="Calls_Per_Second_v5x">#REF!</definedName>
    <definedName name="Calls_Per_Second_v60" localSheetId="2">#REF!</definedName>
    <definedName name="Calls_Per_Second_v60">#REF!</definedName>
    <definedName name="Calls_Per_Second_v70" localSheetId="2">#REF!</definedName>
    <definedName name="Calls_Per_Second_v70">#REF!</definedName>
    <definedName name="Calls_Per_Second_v711" localSheetId="2">#REF!</definedName>
    <definedName name="Calls_Per_Second_v711">#REF!</definedName>
    <definedName name="Calls_Per_Second_v721" localSheetId="2">#REF!</definedName>
    <definedName name="Calls_Per_Second_v721">#REF!</definedName>
    <definedName name="Calls_Per_Second_v751" localSheetId="2">#REF!</definedName>
    <definedName name="Calls_Per_Second_v751">#REF!</definedName>
    <definedName name="Calls_Per_Second_v901" localSheetId="2">'Finesse 12.6'!$B$23</definedName>
    <definedName name="Calls_Per_Second_v901">#REF!</definedName>
    <definedName name="ccai_services_configured">'Finesse 12.6'!$B$56</definedName>
    <definedName name="kbps">8/1000</definedName>
    <definedName name="Max_Login_Time_All_Agents" localSheetId="2">'Finesse 12.6'!$B$18</definedName>
    <definedName name="Max_Login_Time_All_Agents">#REF!</definedName>
    <definedName name="Max_Login_Time_All_Users" localSheetId="2">'Finesse 12.6'!$B$18</definedName>
    <definedName name="Max_Login_Time_All_Users">#REF!</definedName>
    <definedName name="Maximum_Login_Time_for_all_users" localSheetId="2">'Finesse 12.6'!$B$18</definedName>
    <definedName name="Number_of_Agent_Statistics_v5x" localSheetId="2">#REF!</definedName>
    <definedName name="Number_of_Agent_Statistics_v5x">#REF!</definedName>
    <definedName name="Number_of_Agent_Statistics_v60" localSheetId="2">#REF!</definedName>
    <definedName name="Number_of_Agent_Statistics_v60">#REF!</definedName>
    <definedName name="Number_of_Agent_Statistics_v70" localSheetId="2">#REF!</definedName>
    <definedName name="Number_of_Agent_Statistics_v70">#REF!</definedName>
    <definedName name="Number_of_Agent_Statistics_v711" localSheetId="2">#REF!</definedName>
    <definedName name="Number_of_Agent_Statistics_v711">#REF!</definedName>
    <definedName name="Number_of_Agent_Statistics_v721" localSheetId="2">#REF!</definedName>
    <definedName name="Number_of_Agent_Statistics_v721">#REF!</definedName>
    <definedName name="Number_of_Agent_Statistics_v751" localSheetId="2">#REF!</definedName>
    <definedName name="Number_of_Agent_Statistics_v751">#REF!</definedName>
    <definedName name="Number_of_Agent_Statistics_v801" localSheetId="2">'Finesse 12.6'!$B$53</definedName>
    <definedName name="Number_of_Agent_Statistics_v801">#REF!</definedName>
    <definedName name="Number_of_Agents" localSheetId="2">'Finesse 12.6'!$B$9</definedName>
    <definedName name="Number_of_Agents_Answers_Enabled">'Finesse 12.6'!$B$68</definedName>
    <definedName name="Number_of_Agents_Transcript_Enabled">'Finesse 12.6'!$B$69</definedName>
    <definedName name="Number_of_Agents_Transcripts_Enabled">'Finesse 12.6'!$B$69</definedName>
    <definedName name="Number_of_All_Agents_Monitors_v5x" localSheetId="2">#REF!</definedName>
    <definedName name="Number_of_All_Agents_Monitors_v5x">#REF!</definedName>
    <definedName name="Number_of_All_Agents_Monitors_v60" localSheetId="2">#REF!</definedName>
    <definedName name="Number_of_All_Agents_Monitors_v60">#REF!</definedName>
    <definedName name="Number_of_All_Agents_Monitors_v70" localSheetId="2">#REF!</definedName>
    <definedName name="Number_of_All_Agents_Monitors_v70">#REF!</definedName>
    <definedName name="Number_of_All_Agents_Monitors_v711" localSheetId="2">#REF!</definedName>
    <definedName name="Number_of_All_Agents_Monitors_v711">#REF!</definedName>
    <definedName name="Number_of_All_Agents_Monitors_v721" localSheetId="2">#REF!</definedName>
    <definedName name="Number_of_All_Agents_Monitors_v721">#REF!</definedName>
    <definedName name="Number_of_All_Agents_Monitors_v751" localSheetId="2">#REF!</definedName>
    <definedName name="Number_of_All_Agents_Monitors_v751">#REF!</definedName>
    <definedName name="Number_of_All_Agents_Monitors_v801" localSheetId="2">'Finesse 12.6'!$B$11</definedName>
    <definedName name="Number_of_All_Agents_Monitors_v801">#REF!</definedName>
    <definedName name="Number_of_Call_Variables">'BW Data'!$B$74</definedName>
    <definedName name="Number_of_Call_Variables_v5x" localSheetId="2">#REF!</definedName>
    <definedName name="Number_of_Call_Variables_v5x">#REF!</definedName>
    <definedName name="Number_of_Call_Variables_v60" localSheetId="2">#REF!</definedName>
    <definedName name="Number_of_Call_Variables_v60">#REF!</definedName>
    <definedName name="Number_of_Call_Variables_v70" localSheetId="2">#REF!</definedName>
    <definedName name="Number_of_Call_Variables_v70">#REF!</definedName>
    <definedName name="Number_of_Call_Variables_v711" localSheetId="2">#REF!</definedName>
    <definedName name="Number_of_Call_Variables_v711">#REF!</definedName>
    <definedName name="Number_of_Call_Variables_v721" localSheetId="2">#REF!</definedName>
    <definedName name="Number_of_Call_Variables_v721">#REF!</definedName>
    <definedName name="Number_of_Call_Variables_v751" localSheetId="2">#REF!</definedName>
    <definedName name="Number_of_Call_Variables_v751">#REF!</definedName>
    <definedName name="Number_of_Call_Variables_v901" localSheetId="2">'Finesse 12.6'!#REF!</definedName>
    <definedName name="Number_of_Call_Variables_v901">#REF!</definedName>
    <definedName name="Number_of_Call_Variables_v91">'BW Data'!$D$74</definedName>
    <definedName name="Number_of_CCAI_services_configured">'Finesse 12.6'!#REF!</definedName>
    <definedName name="Number_of_Configured_Call_variables">'Finesse 12.6'!$B$62</definedName>
    <definedName name="Number_of_Configured_ECC_variables" localSheetId="2">'Finesse 12.6'!$B$58</definedName>
    <definedName name="Number_of_Configured_ECC_variables_v5x" localSheetId="2">#REF!</definedName>
    <definedName name="Number_of_Configured_ECC_variables_v5x">#REF!</definedName>
    <definedName name="Number_of_Configured_ECC_variables_v60" localSheetId="2">#REF!</definedName>
    <definedName name="Number_of_Configured_ECC_variables_v60">#REF!</definedName>
    <definedName name="Number_of_Configured_ECC_variables_v70" localSheetId="2">#REF!</definedName>
    <definedName name="Number_of_Configured_ECC_variables_v70">#REF!</definedName>
    <definedName name="Number_of_Configured_ECC_variables_v711" localSheetId="2">#REF!</definedName>
    <definedName name="Number_of_Configured_ECC_variables_v711">#REF!</definedName>
    <definedName name="Number_of_Configured_ECC_variables_v721" localSheetId="2">#REF!</definedName>
    <definedName name="Number_of_Configured_ECC_variables_v721">#REF!</definedName>
    <definedName name="Number_of_Configured_ECC_variables_v751" localSheetId="2">#REF!</definedName>
    <definedName name="Number_of_Configured_ECC_variables_v751">#REF!</definedName>
    <definedName name="Number_of_Configured_ECC_variables_v901" localSheetId="2">'Finesse 12.6'!$B$58</definedName>
    <definedName name="Number_of_Configured_ECC_variables_v901">#REF!</definedName>
    <definedName name="Number_of_mc_agents">'Finesse 12.6'!$B$16</definedName>
    <definedName name="Number_of_Multi_Channel_Agents">'Finesse 12.6'!$B$16</definedName>
    <definedName name="Number_of_Non_Voice_MRDs">'Finesse 12.6'!$B$17</definedName>
    <definedName name="Number_of_nonSSO_agents">'Finesse 12.6'!$B$13</definedName>
    <definedName name="Number_of_nonsso_mc_agents">'Finesse 12.6'!#REF!</definedName>
    <definedName name="Number_of_nonSSO_Multi_Channel_Agents">'Finesse 12.6'!#REF!</definedName>
    <definedName name="Number_of_nonSSO_supervisors">'Finesse 12.6'!$B$15</definedName>
    <definedName name="Number_of_nonvoice_mrds">'Finesse 12.6'!$B$17</definedName>
    <definedName name="Number_of_Skill_Group_Statistics_v5x" localSheetId="2">#REF!</definedName>
    <definedName name="Number_of_Skill_Group_Statistics_v5x">#REF!</definedName>
    <definedName name="Number_of_Skill_Group_Statistics_v60" localSheetId="2">#REF!</definedName>
    <definedName name="Number_of_Skill_Group_Statistics_v60">#REF!</definedName>
    <definedName name="Number_of_Skill_Group_Statistics_v70" localSheetId="2">#REF!</definedName>
    <definedName name="Number_of_Skill_Group_Statistics_v70">#REF!</definedName>
    <definedName name="Number_of_Skill_Group_Statistics_v711" localSheetId="2">#REF!</definedName>
    <definedName name="Number_of_Skill_Group_Statistics_v711">#REF!</definedName>
    <definedName name="Number_of_Skill_Group_Statistics_v721" localSheetId="2">#REF!</definedName>
    <definedName name="Number_of_Skill_Group_Statistics_v721">#REF!</definedName>
    <definedName name="Number_of_Skill_Group_Statistics_v751" localSheetId="2">#REF!</definedName>
    <definedName name="Number_of_Skill_Group_Statistics_v751">#REF!</definedName>
    <definedName name="Number_of_Skill_Group_Statistics_v801" localSheetId="2">'Finesse 12.6'!$B$50</definedName>
    <definedName name="Number_of_Skill_Group_Statistics_v801">#REF!</definedName>
    <definedName name="Number_of_Skill_Groups_per_Agent_v5x" localSheetId="2">#REF!</definedName>
    <definedName name="Number_of_Skill_Groups_per_Agent_v5x">#REF!</definedName>
    <definedName name="Number_of_Skill_Groups_per_Agent_v60" localSheetId="2">#REF!</definedName>
    <definedName name="Number_of_Skill_Groups_per_Agent_v60">#REF!</definedName>
    <definedName name="Number_of_Skill_Groups_per_Agent_v70" localSheetId="2">#REF!</definedName>
    <definedName name="Number_of_Skill_Groups_per_Agent_v70">#REF!</definedName>
    <definedName name="Number_of_Skill_Groups_per_Agent_v711" localSheetId="2">#REF!</definedName>
    <definedName name="Number_of_Skill_Groups_per_Agent_v711">#REF!</definedName>
    <definedName name="Number_of_Skill_Groups_per_Agent_v721" localSheetId="2">#REF!</definedName>
    <definedName name="Number_of_Skill_Groups_per_Agent_v721">#REF!</definedName>
    <definedName name="Number_of_Skill_Groups_per_Agent_v751" localSheetId="2">#REF!</definedName>
    <definedName name="Number_of_Skill_Groups_per_Agent_v751">#REF!</definedName>
    <definedName name="Number_of_Skill_Groups_per_Agent_v801" localSheetId="2">'Finesse 12.6'!$B$47</definedName>
    <definedName name="Number_of_Skill_Groups_per_Agent_v801">#REF!</definedName>
    <definedName name="Number_of_Skill_Groups_per_Supervisor_v5x" localSheetId="2">#REF!</definedName>
    <definedName name="Number_of_Skill_Groups_per_Supervisor_v5x">#REF!</definedName>
    <definedName name="Number_of_Skill_Groups_per_Supervisor_v60" localSheetId="2">#REF!</definedName>
    <definedName name="Number_of_Skill_Groups_per_Supervisor_v60">#REF!</definedName>
    <definedName name="Number_of_Skill_Groups_per_Supervisor_v70" localSheetId="2">#REF!</definedName>
    <definedName name="Number_of_Skill_Groups_per_Supervisor_v70">#REF!</definedName>
    <definedName name="Number_of_Skill_Groups_per_Supervisor_v711" localSheetId="2">#REF!</definedName>
    <definedName name="Number_of_Skill_Groups_per_Supervisor_v711">#REF!</definedName>
    <definedName name="Number_of_Skill_Groups_per_Supervisor_v721" localSheetId="2">#REF!</definedName>
    <definedName name="Number_of_Skill_Groups_per_Supervisor_v721">#REF!</definedName>
    <definedName name="Number_of_Skill_Groups_per_Supervisor_v751" localSheetId="2">#REF!</definedName>
    <definedName name="Number_of_Skill_Groups_per_Supervisor_v751">#REF!</definedName>
    <definedName name="Number_of_Skill_Groups_per_Supervisor_v901" localSheetId="2">'Finesse 12.6'!$B$48</definedName>
    <definedName name="Number_of_Skill_Groups_per_Supervisor_v901">#REF!</definedName>
    <definedName name="Number_of_Skill_Groups_PG">'Finesse 12.6'!$B$55</definedName>
    <definedName name="Number_of_SSO_agents">'Finesse 12.6'!$B$12</definedName>
    <definedName name="Number_of_sso_mc_agents">'Finesse 12.6'!#REF!</definedName>
    <definedName name="Number_of_SSO_Multi_Channel_Agents">'Finesse 12.6'!#REF!</definedName>
    <definedName name="Number_of_SSO_supervisors">'Finesse 12.6'!$B$14</definedName>
    <definedName name="Number_of_Supervisors" localSheetId="2">'Finesse 12.6'!$B$10</definedName>
    <definedName name="Number_of_Supervisors_v10">'Finesse 12.6'!$B$10</definedName>
    <definedName name="Number_of_Supervisors_v5x" localSheetId="2">#REF!</definedName>
    <definedName name="Number_of_Supervisors_v5x">#REF!</definedName>
    <definedName name="Number_of_Supervisors_v60" localSheetId="2">#REF!</definedName>
    <definedName name="Number_of_Supervisors_v60">#REF!</definedName>
    <definedName name="Number_of_Supervisors_v70" localSheetId="2">#REF!</definedName>
    <definedName name="Number_of_Supervisors_v70">#REF!</definedName>
    <definedName name="Number_of_Supervisors_v711" localSheetId="2">#REF!</definedName>
    <definedName name="Number_of_Supervisors_v711">#REF!</definedName>
    <definedName name="Number_of_Supervisors_v721" localSheetId="2">#REF!</definedName>
    <definedName name="Number_of_Supervisors_v721">#REF!</definedName>
    <definedName name="Number_of_Supervisors_v751" localSheetId="2">#REF!</definedName>
    <definedName name="Number_of_Supervisors_v751">#REF!</definedName>
    <definedName name="Number_of_Supervisors_v901" localSheetId="2">'Finesse 12.6'!$B$10</definedName>
    <definedName name="Number_of_Supervisors_v901">#REF!</definedName>
    <definedName name="Number_of_teams_for_supervisor">'Finesse 12.6'!$B$65</definedName>
    <definedName name="Percentage_Calls_CCAI_Enabled">'Finesse 12.6'!$B$70</definedName>
    <definedName name="Percentage_Calls_Silently_Monitored" localSheetId="2">'Finesse 12.6'!$B$37</definedName>
    <definedName name="Percentage_Calls_Silently_Monitored">#REF!</definedName>
    <definedName name="Percentage_of_BargedCalls">'Finesse 12.6'!$B$38</definedName>
    <definedName name="Percentage_of_Calls_that_are_silently_monitored" localSheetId="2">'Finesse 12.6'!$B$37</definedName>
    <definedName name="Percentage_of_Consultative_Conference_Calls" localSheetId="2">'Finesse 12.6'!$B$35</definedName>
    <definedName name="Percentage_of_Consultative_Conference_Calls_v5x" localSheetId="2">#REF!</definedName>
    <definedName name="Percentage_of_Consultative_Conference_Calls_v5x">#REF!</definedName>
    <definedName name="Percentage_of_Consultative_Conference_Calls_v60" localSheetId="2">#REF!</definedName>
    <definedName name="Percentage_of_Consultative_Conference_Calls_v60">#REF!</definedName>
    <definedName name="Percentage_of_Consultative_Conference_Calls_v70" localSheetId="2">#REF!</definedName>
    <definedName name="Percentage_of_Consultative_Conference_Calls_v70">#REF!</definedName>
    <definedName name="Percentage_of_Consultative_Conference_Calls_v711" localSheetId="2">#REF!</definedName>
    <definedName name="Percentage_of_Consultative_Conference_Calls_v711">#REF!</definedName>
    <definedName name="Percentage_of_Consultative_Conference_Calls_v721" localSheetId="2">#REF!</definedName>
    <definedName name="Percentage_of_Consultative_Conference_Calls_v721">#REF!</definedName>
    <definedName name="Percentage_of_Consultative_Conference_Calls_v751" localSheetId="2">#REF!</definedName>
    <definedName name="Percentage_of_Consultative_Conference_Calls_v751">#REF!</definedName>
    <definedName name="Percentage_of_Consultative_Conference_Calls_v901" localSheetId="2">'Finesse 12.6'!$B$35</definedName>
    <definedName name="Percentage_of_Consultative_Conference_Calls_v901">#REF!</definedName>
    <definedName name="Percentage_of_Consultative_Transfer_Calls" localSheetId="2">'Finesse 12.6'!$B$33</definedName>
    <definedName name="Percentage_of_Consultative_Transfer_Calls_v5x" localSheetId="2">#REF!</definedName>
    <definedName name="Percentage_of_Consultative_Transfer_Calls_v5x">#REF!</definedName>
    <definedName name="Percentage_of_Consultative_Transfer_Calls_v60" localSheetId="2">#REF!</definedName>
    <definedName name="Percentage_of_Consultative_Transfer_Calls_v60">#REF!</definedName>
    <definedName name="Percentage_of_Consultative_Transfer_Calls_v70" localSheetId="2">#REF!</definedName>
    <definedName name="Percentage_of_Consultative_Transfer_Calls_v70">#REF!</definedName>
    <definedName name="Percentage_of_Consultative_Transfer_Calls_v711" localSheetId="2">#REF!</definedName>
    <definedName name="Percentage_of_Consultative_Transfer_Calls_v711">#REF!</definedName>
    <definedName name="Percentage_of_Consultative_Transfer_Calls_v721" localSheetId="2">#REF!</definedName>
    <definedName name="Percentage_of_Consultative_Transfer_Calls_v721">#REF!</definedName>
    <definedName name="Percentage_of_Consultative_Transfer_Calls_v751" localSheetId="2">#REF!</definedName>
    <definedName name="Percentage_of_Consultative_Transfer_Calls_v751">#REF!</definedName>
    <definedName name="Percentage_of_Consultative_Transfer_Calls_v901" localSheetId="2">'Finesse 12.6'!$B$33</definedName>
    <definedName name="Percentage_of_Consultative_Transfer_Calls_v901">#REF!</definedName>
    <definedName name="Percentage_of_Incoming_Straight_Calls" localSheetId="2">'Finesse 12.6'!$B$30</definedName>
    <definedName name="Percentage_of_Incoming_Straight_Calls_v5x" localSheetId="2">#REF!</definedName>
    <definedName name="Percentage_of_Incoming_Straight_Calls_v5x">#REF!</definedName>
    <definedName name="Percentage_of_Incoming_Straight_Calls_v60" localSheetId="2">#REF!</definedName>
    <definedName name="Percentage_of_Incoming_Straight_Calls_v60">#REF!</definedName>
    <definedName name="Percentage_of_Incoming_Straight_Calls_v70" localSheetId="2">#REF!</definedName>
    <definedName name="Percentage_of_Incoming_Straight_Calls_v70">#REF!</definedName>
    <definedName name="Percentage_of_Incoming_Straight_Calls_v711" localSheetId="2">#REF!</definedName>
    <definedName name="Percentage_of_Incoming_Straight_Calls_v711">#REF!</definedName>
    <definedName name="Percentage_of_Incoming_Straight_Calls_v721" localSheetId="2">#REF!</definedName>
    <definedName name="Percentage_of_Incoming_Straight_Calls_v721">#REF!</definedName>
    <definedName name="Percentage_of_Incoming_Straight_Calls_v751" localSheetId="2">#REF!</definedName>
    <definedName name="Percentage_of_Incoming_Straight_Calls_v751">#REF!</definedName>
    <definedName name="Percentage_of_Incoming_Straight_Calls_v901" localSheetId="2">'Finesse 12.6'!$B$30</definedName>
    <definedName name="Percentage_of_Incoming_Straight_Calls_v901">#REF!</definedName>
    <definedName name="Percentage_of_Incoming_Straight_Tasks">'Finesse 12.6'!$B$41</definedName>
    <definedName name="Percentage_of_InterceptedCalls">'Finesse 12.6'!$B$39</definedName>
    <definedName name="Percentage_of_Interrupted_Tasks">'Finesse 12.6'!$B$43</definedName>
    <definedName name="Percentage_of_Outgoing_Straight_Calls" localSheetId="2">'Finesse 12.6'!$B$31</definedName>
    <definedName name="Percentage_of_Outgoing_Straight_Calls_v5x" localSheetId="2">#REF!</definedName>
    <definedName name="Percentage_of_Outgoing_Straight_Calls_v5x">#REF!</definedName>
    <definedName name="Percentage_of_Outgoing_Straight_Calls_v60" localSheetId="2">#REF!</definedName>
    <definedName name="Percentage_of_Outgoing_Straight_Calls_v60">#REF!</definedName>
    <definedName name="Percentage_of_Outgoing_Straight_Calls_v70" localSheetId="2">#REF!</definedName>
    <definedName name="Percentage_of_Outgoing_Straight_Calls_v70">#REF!</definedName>
    <definedName name="Percentage_of_Outgoing_Straight_Calls_v711" localSheetId="2">#REF!</definedName>
    <definedName name="Percentage_of_Outgoing_Straight_Calls_v711">#REF!</definedName>
    <definedName name="Percentage_of_Outgoing_Straight_Calls_v721" localSheetId="2">#REF!</definedName>
    <definedName name="Percentage_of_Outgoing_Straight_Calls_v721">#REF!</definedName>
    <definedName name="Percentage_of_Outgoing_Straight_Calls_v751" localSheetId="2">#REF!</definedName>
    <definedName name="Percentage_of_Outgoing_Straight_Calls_v751">#REF!</definedName>
    <definedName name="Percentage_of_Outgoing_Straight_Calls_v901" localSheetId="2">'Finesse 12.6'!$B$31</definedName>
    <definedName name="Percentage_of_Outgoing_Straight_Calls_v901">#REF!</definedName>
    <definedName name="Percentage_of_Paused_and_Resumed_Tasks">'Finesse 12.6'!$B$44</definedName>
    <definedName name="Percentage_of_Single_Step_Transfer_Calls_v5x" localSheetId="2">#REF!</definedName>
    <definedName name="Percentage_of_Single_Step_Transfer_Calls_v5x">#REF!</definedName>
    <definedName name="Percentage_of_Single_Step_Transfer_Calls_v60" localSheetId="2">#REF!</definedName>
    <definedName name="Percentage_of_Single_Step_Transfer_Calls_v60">#REF!</definedName>
    <definedName name="Percentage_of_Single_Step_Transfer_Calls_v70" localSheetId="2">#REF!</definedName>
    <definedName name="Percentage_of_Single_Step_Transfer_Calls_v70">#REF!</definedName>
    <definedName name="Percentage_of_Single_Step_Transfer_Calls_v711" localSheetId="2">#REF!</definedName>
    <definedName name="Percentage_of_Single_Step_Transfer_Calls_v711">#REF!</definedName>
    <definedName name="Percentage_of_Single_Step_Transfer_Calls_v721" localSheetId="2">#REF!</definedName>
    <definedName name="Percentage_of_Single_Step_Transfer_Calls_v721">#REF!</definedName>
    <definedName name="Percentage_of_Single_Step_Transfer_Calls_v751" localSheetId="2">#REF!</definedName>
    <definedName name="Percentage_of_Single_Step_Transfer_Calls_v751">#REF!</definedName>
    <definedName name="Percentage_of_Single_Step_Transfer_Calls_v801" localSheetId="2">'Finesse 12.6'!$B$32</definedName>
    <definedName name="Percentage_of_Single_Step_Transfer_Calls_v801">#REF!</definedName>
    <definedName name="Percentage_of_SingleStep_Transfer_Calls">'Finesse 12.6'!$B$34</definedName>
    <definedName name="Percentage_of_Transferred_Tasks">'Finesse 12.6'!$B$42</definedName>
    <definedName name="Skill_Group_Refresh_Rate">'BW Data'!$B$69</definedName>
    <definedName name="Skill_Group_Refresh_Rate_v91">'BW Data'!$D$69</definedName>
    <definedName name="Skill_Group_Update_Interval_v5x" localSheetId="2">#REF!</definedName>
    <definedName name="Skill_Group_Update_Interval_v5x">#REF!</definedName>
    <definedName name="Skill_Group_Update_Interval_v60" localSheetId="2">#REF!</definedName>
    <definedName name="Skill_Group_Update_Interval_v60">#REF!</definedName>
    <definedName name="Skill_Group_Update_Interval_v70" localSheetId="2">#REF!</definedName>
    <definedName name="Skill_Group_Update_Interval_v70">#REF!</definedName>
    <definedName name="Skill_Group_Update_Interval_v711" localSheetId="2">#REF!</definedName>
    <definedName name="Skill_Group_Update_Interval_v711">#REF!</definedName>
    <definedName name="Skill_Group_Update_Interval_v721" localSheetId="2">#REF!</definedName>
    <definedName name="Skill_Group_Update_Interval_v721">#REF!</definedName>
    <definedName name="Skill_Group_Update_Interval_v751" localSheetId="2">#REF!</definedName>
    <definedName name="Skill_Group_Update_Interval_v751">#REF!</definedName>
    <definedName name="Skill_Group_Update_Interval_v801" localSheetId="2">'Finesse 12.6'!$B$51</definedName>
    <definedName name="Skill_Group_Update_Interval_v801">#REF!</definedName>
    <definedName name="Sum_of_all_Call_Variable_Values" localSheetId="2">'Finesse 12.6'!$B$63</definedName>
    <definedName name="Sum_of_all_Call_Variable_Values_v5x" localSheetId="2">#REF!</definedName>
    <definedName name="Sum_of_all_Call_Variable_Values_v5x">#REF!</definedName>
    <definedName name="Sum_of_all_Call_Variable_Values_v60" localSheetId="2">#REF!</definedName>
    <definedName name="Sum_of_all_Call_Variable_Values_v60">#REF!</definedName>
    <definedName name="Sum_of_all_Call_Variable_Values_v70" localSheetId="2">#REF!</definedName>
    <definedName name="Sum_of_all_Call_Variable_Values_v70">#REF!</definedName>
    <definedName name="Sum_of_all_Call_Variable_Values_v711" localSheetId="2">#REF!</definedName>
    <definedName name="Sum_of_all_Call_Variable_Values_v711">#REF!</definedName>
    <definedName name="Sum_of_all_Call_Variable_Values_v721" localSheetId="2">#REF!</definedName>
    <definedName name="Sum_of_all_Call_Variable_Values_v721">#REF!</definedName>
    <definedName name="Sum_of_all_Call_Variable_Values_v751" localSheetId="2">#REF!</definedName>
    <definedName name="Sum_of_all_Call_Variable_Values_v751">#REF!</definedName>
    <definedName name="Sum_of_all_Call_Variable_Values_v901" localSheetId="2">'Finesse 12.6'!$B$63</definedName>
    <definedName name="Sum_of_all_Call_Variable_Values_v901">#REF!</definedName>
    <definedName name="Sum_of_all_ECC_Variable_Names" localSheetId="2">'Finesse 12.6'!$B$59</definedName>
    <definedName name="Sum_of_all_ECC_Variable_Names_v5x" localSheetId="2">#REF!</definedName>
    <definedName name="Sum_of_all_ECC_Variable_Names_v5x">#REF!</definedName>
    <definedName name="Sum_of_all_ECC_Variable_Names_v60" localSheetId="2">#REF!</definedName>
    <definedName name="Sum_of_all_ECC_Variable_Names_v60">#REF!</definedName>
    <definedName name="Sum_of_all_ECC_Variable_Names_v70" localSheetId="2">#REF!</definedName>
    <definedName name="Sum_of_all_ECC_Variable_Names_v70">#REF!</definedName>
    <definedName name="Sum_of_all_ECC_Variable_Names_v711" localSheetId="2">#REF!</definedName>
    <definedName name="Sum_of_all_ECC_Variable_Names_v711">#REF!</definedName>
    <definedName name="Sum_of_all_ECC_Variable_Names_v721" localSheetId="2">#REF!</definedName>
    <definedName name="Sum_of_all_ECC_Variable_Names_v721">#REF!</definedName>
    <definedName name="Sum_of_all_ECC_Variable_Names_v751" localSheetId="2">#REF!</definedName>
    <definedName name="Sum_of_all_ECC_Variable_Names_v751">#REF!</definedName>
    <definedName name="Sum_of_all_ECC_Variable_Names_v901" localSheetId="2">'Finesse 12.6'!$B$59</definedName>
    <definedName name="Sum_of_all_ECC_Variable_Names_v901">#REF!</definedName>
    <definedName name="Sum_of_all_ECC_Variable_Values" localSheetId="2">'Finesse 12.6'!$B$60</definedName>
    <definedName name="Sum_of_all_ECC_Variable_Values_v5x" localSheetId="2">#REF!</definedName>
    <definedName name="Sum_of_all_ECC_Variable_Values_v5x">#REF!</definedName>
    <definedName name="Sum_of_all_ECC_Variable_Values_v60" localSheetId="2">#REF!</definedName>
    <definedName name="Sum_of_all_ECC_Variable_Values_v60">#REF!</definedName>
    <definedName name="Sum_of_all_ECC_Variable_Values_v70" localSheetId="2">#REF!</definedName>
    <definedName name="Sum_of_all_ECC_Variable_Values_v70">#REF!</definedName>
    <definedName name="Sum_of_all_ECC_Variable_Values_v711" localSheetId="2">#REF!</definedName>
    <definedName name="Sum_of_all_ECC_Variable_Values_v711">#REF!</definedName>
    <definedName name="Sum_of_all_ECC_Variable_Values_v721" localSheetId="2">#REF!</definedName>
    <definedName name="Sum_of_all_ECC_Variable_Values_v721">#REF!</definedName>
    <definedName name="Sum_of_all_ECC_Variable_Values_v751" localSheetId="2">#REF!</definedName>
    <definedName name="Sum_of_all_ECC_Variable_Values_v751">#REF!</definedName>
    <definedName name="Sum_of_all_ECC_Variable_Values_v901" localSheetId="2">'Finesse 12.6'!$B$60</definedName>
    <definedName name="Sum_of_all_ECC_Variable_Values_v901">#REF!</definedName>
    <definedName name="Tasks_Per_Second">'Finesse 12.6'!$B$28</definedName>
    <definedName name="Total" localSheetId="2">'Finesse 12.6'!$B$36</definedName>
    <definedName name="Totall">'Finesse 12.6'!$B$36</definedName>
    <definedName name="Totalll">'Finesse 12.6'!$B$36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7" i="17" l="1"/>
  <c r="B128" i="17"/>
  <c r="B187" i="17"/>
  <c r="B109" i="17"/>
  <c r="F58" i="5" l="1"/>
  <c r="E58" i="5"/>
  <c r="E57" i="5"/>
  <c r="F56" i="5"/>
  <c r="E56" i="5"/>
  <c r="F55" i="5"/>
  <c r="E55" i="5"/>
  <c r="F54" i="5"/>
  <c r="E54" i="5"/>
  <c r="F29" i="5"/>
  <c r="E29" i="5"/>
  <c r="F28" i="5"/>
  <c r="E28" i="5"/>
  <c r="F27" i="5"/>
  <c r="E27" i="5"/>
  <c r="F26" i="5"/>
  <c r="E26" i="5"/>
  <c r="F25" i="5"/>
  <c r="E25" i="5"/>
  <c r="B108" i="17" l="1"/>
  <c r="F12" i="5" l="1"/>
  <c r="F11" i="5"/>
  <c r="F10" i="5"/>
  <c r="F9" i="5"/>
  <c r="F8" i="5"/>
  <c r="F7" i="5"/>
  <c r="F6" i="5"/>
  <c r="F5" i="5"/>
  <c r="E12" i="5"/>
  <c r="E11" i="5"/>
  <c r="E10" i="5"/>
  <c r="E9" i="5"/>
  <c r="E8" i="5"/>
  <c r="E7" i="5"/>
  <c r="E6" i="5"/>
  <c r="E5" i="5"/>
  <c r="F24" i="17" l="1"/>
  <c r="F138" i="17"/>
  <c r="F135" i="17"/>
  <c r="F136" i="17" s="1"/>
  <c r="F134" i="17"/>
  <c r="H23" i="5"/>
  <c r="H22" i="5"/>
  <c r="H21" i="5"/>
  <c r="B91" i="17" s="1"/>
  <c r="E21" i="5"/>
  <c r="B86" i="17" s="1"/>
  <c r="B92" i="17" l="1"/>
  <c r="B87" i="17"/>
  <c r="F19" i="17"/>
  <c r="B185" i="17" l="1"/>
  <c r="F30" i="5" l="1"/>
  <c r="E30" i="5"/>
  <c r="B129" i="17" l="1"/>
  <c r="B206" i="17"/>
  <c r="E35" i="5"/>
  <c r="E34" i="5"/>
  <c r="B204" i="17" l="1"/>
  <c r="B205" i="17" s="1"/>
  <c r="B207" i="17" s="1"/>
  <c r="B208" i="17" s="1"/>
  <c r="B94" i="17"/>
  <c r="B96" i="17" s="1"/>
  <c r="B15" i="17"/>
  <c r="B74" i="17" s="1"/>
  <c r="B13" i="17"/>
  <c r="B72" i="17" s="1"/>
  <c r="B22" i="17"/>
  <c r="B23" i="17" s="1"/>
  <c r="B28" i="17"/>
  <c r="B179" i="17" s="1"/>
  <c r="B45" i="17"/>
  <c r="B12" i="5"/>
  <c r="D11" i="5"/>
  <c r="B11" i="5"/>
  <c r="B10" i="5"/>
  <c r="D9" i="5"/>
  <c r="B9" i="5"/>
  <c r="B5" i="5"/>
  <c r="D5" i="5"/>
  <c r="B6" i="5"/>
  <c r="B7" i="5"/>
  <c r="D7" i="5"/>
  <c r="B8" i="5"/>
  <c r="B156" i="17"/>
  <c r="B155" i="17"/>
  <c r="B54" i="17"/>
  <c r="B157" i="17" l="1"/>
  <c r="B134" i="17"/>
  <c r="B182" i="17"/>
  <c r="B160" i="17"/>
  <c r="B113" i="17"/>
  <c r="B120" i="17"/>
  <c r="B127" i="17"/>
  <c r="B142" i="17"/>
  <c r="B143" i="17"/>
  <c r="B75" i="17"/>
  <c r="B95" i="17"/>
  <c r="B97" i="17" s="1"/>
  <c r="B131" i="17"/>
  <c r="B130" i="17"/>
  <c r="B178" i="17"/>
  <c r="B181" i="17"/>
  <c r="B73" i="17"/>
  <c r="B167" i="17"/>
  <c r="B171" i="17"/>
  <c r="B175" i="17"/>
  <c r="B118" i="17"/>
  <c r="B122" i="17"/>
  <c r="B126" i="17"/>
  <c r="B159" i="17"/>
  <c r="B173" i="17"/>
  <c r="B124" i="17"/>
  <c r="B174" i="17"/>
  <c r="B117" i="17"/>
  <c r="B121" i="17"/>
  <c r="B112" i="17"/>
  <c r="B163" i="17"/>
  <c r="B168" i="17"/>
  <c r="B172" i="17"/>
  <c r="B176" i="17"/>
  <c r="B115" i="17"/>
  <c r="B119" i="17"/>
  <c r="B123" i="17"/>
  <c r="B110" i="17"/>
  <c r="B161" i="17"/>
  <c r="B165" i="17"/>
  <c r="B116" i="17"/>
  <c r="B158" i="17"/>
  <c r="B166" i="17"/>
  <c r="B169" i="17"/>
  <c r="B111" i="17"/>
  <c r="B170" i="17"/>
  <c r="B125" i="17"/>
  <c r="B133" i="17"/>
  <c r="B180" i="17"/>
  <c r="B132" i="17"/>
  <c r="B188" i="17" l="1"/>
  <c r="B138" i="17"/>
  <c r="B139" i="17"/>
  <c r="B136" i="17"/>
  <c r="B135" i="17"/>
  <c r="B89" i="17"/>
  <c r="B144" i="17"/>
  <c r="B145" i="17" s="1"/>
  <c r="B88" i="17"/>
  <c r="B184" i="17"/>
  <c r="B183" i="17"/>
  <c r="B186" i="17" l="1"/>
  <c r="D160" i="17" s="1"/>
  <c r="B137" i="17"/>
  <c r="D177" i="17" s="1"/>
  <c r="D128" i="17" l="1"/>
  <c r="D127" i="17"/>
  <c r="D129" i="17"/>
  <c r="D180" i="17"/>
  <c r="D115" i="17"/>
  <c r="D134" i="17"/>
  <c r="D123" i="17"/>
  <c r="D132" i="17"/>
  <c r="D112" i="17"/>
  <c r="D125" i="17"/>
  <c r="D181" i="17"/>
  <c r="D133" i="17"/>
  <c r="D120" i="17"/>
  <c r="D111" i="17"/>
  <c r="D126" i="17"/>
  <c r="D130" i="17"/>
  <c r="D119" i="17"/>
  <c r="D121" i="17"/>
  <c r="D108" i="17"/>
  <c r="D122" i="17"/>
  <c r="D116" i="17"/>
  <c r="D182" i="17"/>
  <c r="D117" i="17"/>
  <c r="D135" i="17"/>
  <c r="D178" i="17"/>
  <c r="D118" i="17"/>
  <c r="D179" i="17"/>
  <c r="D131" i="17"/>
  <c r="D136" i="17"/>
  <c r="D110" i="17"/>
  <c r="D124" i="17"/>
  <c r="D109" i="17"/>
  <c r="D163" i="17"/>
  <c r="D175" i="17"/>
  <c r="D165" i="17"/>
  <c r="D172" i="17"/>
  <c r="D171" i="17"/>
  <c r="D184" i="17"/>
  <c r="D155" i="17"/>
  <c r="D164" i="17"/>
  <c r="D183" i="17"/>
  <c r="D158" i="17"/>
  <c r="D168" i="17"/>
  <c r="D169" i="17"/>
  <c r="D159" i="17"/>
  <c r="D157" i="17"/>
  <c r="D173" i="17"/>
  <c r="D167" i="17"/>
  <c r="D166" i="17"/>
  <c r="D161" i="17"/>
  <c r="D170" i="17"/>
  <c r="D176" i="17"/>
  <c r="D156" i="17"/>
  <c r="D174" i="17"/>
  <c r="D137" i="17" l="1"/>
  <c r="D144" i="17" s="1"/>
  <c r="D186" i="17"/>
</calcChain>
</file>

<file path=xl/sharedStrings.xml><?xml version="1.0" encoding="utf-8"?>
<sst xmlns="http://schemas.openxmlformats.org/spreadsheetml/2006/main" count="669" uniqueCount="314">
  <si>
    <t>Message Header + TCP Overhead</t>
  </si>
  <si>
    <t>Call Center Information</t>
  </si>
  <si>
    <t>Percentage of Incoming Straight Calls</t>
  </si>
  <si>
    <t>Percentage of Outgoing Straight Calls</t>
  </si>
  <si>
    <t>Percentage of Consultative Transfer Calls</t>
  </si>
  <si>
    <t>Percentage of Consultative Conference Calls</t>
  </si>
  <si>
    <t>Total</t>
  </si>
  <si>
    <t>kbps</t>
  </si>
  <si>
    <t>skill group(s)</t>
  </si>
  <si>
    <t>Comments</t>
  </si>
  <si>
    <t>Value</t>
  </si>
  <si>
    <t>Units</t>
  </si>
  <si>
    <t>variable(s)</t>
  </si>
  <si>
    <t>char(s)</t>
  </si>
  <si>
    <t>Call Scenarios</t>
  </si>
  <si>
    <t>Incoming Straight Call - All Messages</t>
  </si>
  <si>
    <t>Outgoing Straight Call - All Messages</t>
  </si>
  <si>
    <t>Consultative Transfer - All Messages</t>
  </si>
  <si>
    <t>Consultative Conference - All Messages</t>
  </si>
  <si>
    <t>Number of Configured ECC variables</t>
  </si>
  <si>
    <t>Call Profile</t>
  </si>
  <si>
    <t>ECC Variables</t>
  </si>
  <si>
    <t>Call Variables</t>
  </si>
  <si>
    <t>agent(s)</t>
  </si>
  <si>
    <t>second(s)</t>
  </si>
  <si>
    <t>stat(s)</t>
  </si>
  <si>
    <t>Consultative Transfer Bandwidth</t>
  </si>
  <si>
    <t>Consultative Conference Bandwidth</t>
  </si>
  <si>
    <t>Straight Call Bandwidth (Incoming &amp; Outgoing)</t>
  </si>
  <si>
    <t>6 default; 91 maximum</t>
  </si>
  <si>
    <t>Number of Supervisors</t>
  </si>
  <si>
    <t>supervisor(s)</t>
  </si>
  <si>
    <t>session(s)</t>
  </si>
  <si>
    <t>2 maximum supported</t>
  </si>
  <si>
    <t>Typically 10% of desktops</t>
  </si>
  <si>
    <t>percent</t>
  </si>
  <si>
    <t>85% Straight Calls Typical</t>
  </si>
  <si>
    <t>10% Transfer Calls Typical</t>
  </si>
  <si>
    <t>5% Conference Calls Typical</t>
  </si>
  <si>
    <t>Call Distribution</t>
  </si>
  <si>
    <t>Adjust Call Distribution to equal 100%</t>
  </si>
  <si>
    <t>10 second default</t>
  </si>
  <si>
    <t>Additional Bytes / Variable</t>
  </si>
  <si>
    <t>Average Call Duration</t>
  </si>
  <si>
    <t>Calls/Second</t>
  </si>
  <si>
    <t>Default is per-call; If agent stats are updated on a per-call basis, make sure this number is equal to the Call Profile "Average Call Duration" above.</t>
  </si>
  <si>
    <t>Customer Site Information</t>
  </si>
  <si>
    <t>0 Default</t>
  </si>
  <si>
    <t>Sum of all ECC Variable Names</t>
  </si>
  <si>
    <t>5 Default</t>
  </si>
  <si>
    <t>Count characters of all configured ECC variable names</t>
  </si>
  <si>
    <t>Equal to ((Number of Agents) / (Average Call Duration))</t>
  </si>
  <si>
    <t>Maximum length is 2k chars</t>
  </si>
  <si>
    <t>BHCA</t>
  </si>
  <si>
    <t>calls/hour</t>
  </si>
  <si>
    <t>Agent Call Wrap-Up Time</t>
  </si>
  <si>
    <t>Calls Per Second</t>
  </si>
  <si>
    <t>Sum of all ECC Variable Values</t>
  </si>
  <si>
    <t>Sum of all Call Variable Values</t>
  </si>
  <si>
    <t xml:space="preserve">Bandwidth Requirement </t>
  </si>
  <si>
    <t>Bandwidth Confidence Factor</t>
  </si>
  <si>
    <t>Agent Bandwidth Total</t>
  </si>
  <si>
    <t>Supervisor Bandwidth Total</t>
  </si>
  <si>
    <t>Total Bandwidth</t>
  </si>
  <si>
    <t>Notes:</t>
  </si>
  <si>
    <t>Directions:</t>
  </si>
  <si>
    <t>17 default; 166 maximum</t>
  </si>
  <si>
    <t>Typically 30 calls per hour per agent</t>
  </si>
  <si>
    <t>Average number of Skill Groups per Supervisor</t>
  </si>
  <si>
    <t>0 &lt;= "Sum of all Call Variable Values" &lt;= 400
Maximum length is 40 chars per variable</t>
  </si>
  <si>
    <t>2000 maximum</t>
  </si>
  <si>
    <t>(N/A for Finesse) Number of All Agents Monitors</t>
  </si>
  <si>
    <t>(N/A for Finesse) Percentage of Single Step Transfer Calls</t>
  </si>
  <si>
    <t>Finesse Bandwidth Calculator</t>
  </si>
  <si>
    <t>CCE Configuration Information</t>
  </si>
  <si>
    <t xml:space="preserve">(N/A for Finesse) Number of Skill Group Statistics </t>
  </si>
  <si>
    <t>(N/A for Finesse) Skill Group Update Interval</t>
  </si>
  <si>
    <t>(N/A for Finesse) Number of Agent Statistics</t>
  </si>
  <si>
    <t>(N/A for Finesse) Agent Statistics Update Interval</t>
  </si>
  <si>
    <t>(N/A for Finesse) Skill Groups</t>
  </si>
  <si>
    <t xml:space="preserve"> (N/A for Finesse) Agent Statistics</t>
  </si>
  <si>
    <t xml:space="preserve">Bandwidth Requirements </t>
  </si>
  <si>
    <t>(N/A for Finesse)  Single Step Transfer Bandwidth</t>
  </si>
  <si>
    <t>Supervisor Queue Gadget Bandwidth</t>
  </si>
  <si>
    <t>(N/A for Finesse) Average number of Skill Groups per Agent</t>
  </si>
  <si>
    <t>Team Performance Gadget Bandwidth</t>
  </si>
  <si>
    <t>Bytes per Call for Supervisor Silent Monitoring</t>
  </si>
  <si>
    <t>Bytes per Agent State Change in Team Performance Gadget</t>
  </si>
  <si>
    <t>Queue Gadget</t>
  </si>
  <si>
    <t>Finesse Bandwidth Measurements</t>
  </si>
  <si>
    <t>Average Bytes / Queue</t>
  </si>
  <si>
    <t>Additional Overhead for Wrap-Up - All Message</t>
  </si>
  <si>
    <t>Wrap-Up Bandwidth</t>
  </si>
  <si>
    <t>Avg Bandwidth Per Agent</t>
  </si>
  <si>
    <t>Avg_Agent_State_Changes_Per_Call_NoWrap</t>
  </si>
  <si>
    <t>Avg_Agent_State_Changes_Per_Call_Wrap</t>
  </si>
  <si>
    <t>Skill_Group_Refresh_Rate</t>
  </si>
  <si>
    <t>Key</t>
  </si>
  <si>
    <t>Avg_Number_Dialog_Events_Per_IncomingCall</t>
  </si>
  <si>
    <t>Avg_Number_Dialog_Events_Per_ConfCall</t>
  </si>
  <si>
    <t>Avg_Number_Dialog_Events_Per_OutCall</t>
  </si>
  <si>
    <t>Avg_Number_Dialog_Events_Per_XferCall</t>
  </si>
  <si>
    <t>Number_of_Call_Variables</t>
  </si>
  <si>
    <t>Call Variable Incoming Calls Bandwidth</t>
  </si>
  <si>
    <t>Call Variable Outgoing Calls Bandwidth</t>
  </si>
  <si>
    <t>Call Variable Conference Calls Bandwidth</t>
  </si>
  <si>
    <t>Call Variable Transfer Calls Bandwidth</t>
  </si>
  <si>
    <t>ECC Variable Incoming Calls Bandwidth</t>
  </si>
  <si>
    <t>ECC Variable Conference Calls Bandwidth</t>
  </si>
  <si>
    <t>ECC Variable Transfer Calls Bandwidth</t>
  </si>
  <si>
    <t>Percentage of Calls that are silently monitored</t>
  </si>
  <si>
    <t>Silent Monitor Bandwidth</t>
  </si>
  <si>
    <t>Supervisor</t>
  </si>
  <si>
    <t>Agent</t>
  </si>
  <si>
    <t>ECC Variable Outgoing Calls Bandwidth</t>
  </si>
  <si>
    <t>0 Default, 50 skill groups maximum</t>
  </si>
  <si>
    <t>Login</t>
  </si>
  <si>
    <t>minute(s)</t>
  </si>
  <si>
    <t>Maximum Login Time for all users</t>
  </si>
  <si>
    <t>1. Enter the appropriate values in the yellow boxes to characterize the Call Center to be evaluated.</t>
  </si>
  <si>
    <t>2. Do not modify any cells that are green or grey.</t>
  </si>
  <si>
    <t>3. Total Bandwidth, Agent Bandwidth and Supervisor Bandwidth requirements are calculated and presented at the bottom of the spreadsheet.</t>
  </si>
  <si>
    <t>1. The calculator is based on empirical measurements of network traffic during load testing as well as simple functional tests.  In some cases, the bandwidth requirements do not always increase linearly when the contact center is scaled.  As a result, the best approximation of bandwidth has been used.</t>
  </si>
  <si>
    <t>2. The "BW Data" sheet should not be modified.  It contains the empirical data collected to model the bandwidth utilization.</t>
  </si>
  <si>
    <t>5. The bandwidth calculations in this spreadsheet are for control messaging between Finesse desktop and server, and do not include the RTP voice stream bandwidth, nor Silent Monitoring RTP stream bandwidth.</t>
  </si>
  <si>
    <t>Bytes</t>
  </si>
  <si>
    <t>The total amount of time it should take for all agents to log into the Finesse server including Finesse failover conditions.  If the deployment includes 2000 agents and this value is set to 5 minutes, all 2000 agents should be able to point their browser to Finesse and complete the login sequence within 5 minutes.</t>
  </si>
  <si>
    <t>Message Overhead</t>
  </si>
  <si>
    <r>
      <t>DISCLAIMER</t>
    </r>
    <r>
      <rPr>
        <sz val="10"/>
        <color indexed="10"/>
        <rFont val="Arial"/>
        <family val="2"/>
      </rPr>
      <t>: This calculator is intended to provide a general understanding of Finesse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formulas do not include latency or jitter</t>
    </r>
  </si>
  <si>
    <t>9.0
Client to Server</t>
  </si>
  <si>
    <t>9.1
Client to Server</t>
  </si>
  <si>
    <t>9.1
Server to CTI</t>
  </si>
  <si>
    <t>Single Step Transfer</t>
  </si>
  <si>
    <t>Barge</t>
  </si>
  <si>
    <t>Intercept</t>
  </si>
  <si>
    <t>Post-Login Client to Server  Bandwidth</t>
  </si>
  <si>
    <t>Finesse Server to CTI Server  Bandwidth</t>
  </si>
  <si>
    <t>Supervisor Login</t>
  </si>
  <si>
    <t>Barge Bandwidth</t>
  </si>
  <si>
    <t>Intercept Bandwidth</t>
  </si>
  <si>
    <t>N/A</t>
  </si>
  <si>
    <t>0 Default.  Max of 10.</t>
  </si>
  <si>
    <t>Number of Configured Call Variables</t>
  </si>
  <si>
    <t>Percentage of Calls that are barged in on</t>
  </si>
  <si>
    <t>Percentage of Calls that are intercepted</t>
  </si>
  <si>
    <t>Percentage of Single-Step Transfer Calls</t>
  </si>
  <si>
    <t>Bytes_Per_Call_Variable_Value</t>
  </si>
  <si>
    <t>This will be less than or equal to the number of silent monitor calls</t>
  </si>
  <si>
    <t>This will be less than or equal to the number of Barged Calls</t>
  </si>
  <si>
    <t>Number of configured skill groups on the PG</t>
  </si>
  <si>
    <t>Single Step Transfer Bandwidth</t>
  </si>
  <si>
    <t xml:space="preserve">3. The calculator is based on per Finesse server per site. If one Finesse Server has more than one remote site, then the calculator should be run once for each remote site to be evaluated. </t>
  </si>
  <si>
    <t xml:space="preserve">4. For distributed deployments (i.e. not all agents located at the same physical site), the Finesse Bandwidth Calculator should be run once for each site to calculate the bandwidth required between each site and it's respective Finesse server.  </t>
  </si>
  <si>
    <t>Context Service</t>
  </si>
  <si>
    <t>CS gadget authentication requests</t>
  </si>
  <si>
    <t xml:space="preserve">POD Update </t>
  </si>
  <si>
    <t>Agent Voice Login - No Caching - without SSO</t>
  </si>
  <si>
    <t>Agent Voice Login - Caching - without SSO</t>
  </si>
  <si>
    <t>Supervisor Voice Login - No Caching - without SSO</t>
  </si>
  <si>
    <t>Supervisor Voice Login - Caching - without SSO</t>
  </si>
  <si>
    <t>Agent Voice Login - No Caching - with SSO</t>
  </si>
  <si>
    <t>Agent Voice Login - Caching - with SSO</t>
  </si>
  <si>
    <t>Supervisor Voice Login - No Caching - with SSO</t>
  </si>
  <si>
    <t>Supervisor Voice Login - Caching - with SSO</t>
  </si>
  <si>
    <t>Task Scenarios</t>
  </si>
  <si>
    <t>Incoming Task - All Messages</t>
  </si>
  <si>
    <t>Pause Task - All Messages</t>
  </si>
  <si>
    <t>Resume Task - All Messages</t>
  </si>
  <si>
    <t>Avg_Agent_State_Changes_Per_Task_NoWrap</t>
  </si>
  <si>
    <t>Avg_Agent_State_Changes_Per_Task_Wrap</t>
  </si>
  <si>
    <t>Number of multi-channel agents</t>
  </si>
  <si>
    <t>Average number of non-voice MRDs per multi-channel agent</t>
  </si>
  <si>
    <t>Non-voice MRDs</t>
  </si>
  <si>
    <t>Task Profile</t>
  </si>
  <si>
    <t>Busy Hour Task Attempts</t>
  </si>
  <si>
    <t>tasks/hour</t>
  </si>
  <si>
    <t>Typically 5 tasks per hour per agent</t>
  </si>
  <si>
    <t>Agent Task Wrap-Up Time</t>
  </si>
  <si>
    <t>Average Task Duration</t>
  </si>
  <si>
    <t>Tasks Per Second</t>
  </si>
  <si>
    <t>Equal to ((Number of Agents) / (Average Task Duration))</t>
  </si>
  <si>
    <t>Task Distribution</t>
  </si>
  <si>
    <t>Percentage of Incoming Straight Tasks</t>
  </si>
  <si>
    <t>Percentage of Transferred Tasks</t>
  </si>
  <si>
    <t>85% Straight Tasks Typical, 10% Transferred Tasks</t>
  </si>
  <si>
    <t>Adjust Task Distribution to equal 100%</t>
  </si>
  <si>
    <t>Percentage of Paused and ResumedTasks</t>
  </si>
  <si>
    <t>Agent Voice Login Bandwidth - No Caching</t>
  </si>
  <si>
    <t>Agent Voice Login Bandwidth - Caching</t>
  </si>
  <si>
    <t>Supervisor Voice Login Bandwidth - No Caching</t>
  </si>
  <si>
    <t>Supervisor Voice Login Bandwidth - Caching</t>
  </si>
  <si>
    <t>Total Voice Bandwidth - No Caching</t>
  </si>
  <si>
    <t>Total Voice Bandwidth - Caching</t>
  </si>
  <si>
    <t>Agent Non-Voice Login Bandwidth - No Caching</t>
  </si>
  <si>
    <t>Agent Non-Voice Login Bandwidth - Caching</t>
  </si>
  <si>
    <t>Total Number of Agents</t>
  </si>
  <si>
    <t>Number of SSO enabled agents</t>
  </si>
  <si>
    <t>Number of SSO enabled supervisors</t>
  </si>
  <si>
    <t>Number of non-SSO supervisors</t>
  </si>
  <si>
    <t>agents(s)</t>
  </si>
  <si>
    <t>Total Non-Voice Bandwidth - No Caching</t>
  </si>
  <si>
    <t>Total Non-Voice Bandwidth - Caching</t>
  </si>
  <si>
    <t>Client to Finesse Server Voice Login Bandwidth</t>
  </si>
  <si>
    <t>Client to Finesse Server Non-Voice Login Bandwidth</t>
  </si>
  <si>
    <t>Percentage of Interrupted Tasks</t>
  </si>
  <si>
    <t>Straight Task Bandwidth</t>
  </si>
  <si>
    <t>Single Step Task Transfer Bandwidth</t>
  </si>
  <si>
    <t>Interrupted Task Bandwidth</t>
  </si>
  <si>
    <t>Paused and Resumed Task Bandwidth</t>
  </si>
  <si>
    <t>Transfer Task - All Messages</t>
  </si>
  <si>
    <t>Interrupted Task - All Messages</t>
  </si>
  <si>
    <t>Task Wrap-Up Bandwidth</t>
  </si>
  <si>
    <t xml:space="preserve">Agent Non-voice (1 MRD) Login - No Caching </t>
  </si>
  <si>
    <t>Agent Non-voice (1 MRD) Login - Caching</t>
  </si>
  <si>
    <t>Supervisor Non-voice (1 MRD) Login - No Caching</t>
  </si>
  <si>
    <t>Supervisor Non-Voice (1 MRD) Login - Caching</t>
  </si>
  <si>
    <t>Chat Scenarios</t>
  </si>
  <si>
    <t xml:space="preserve">To establish a single Chat session </t>
  </si>
  <si>
    <t>NA</t>
  </si>
  <si>
    <t>Send or Receive a single character to a Chat peer</t>
  </si>
  <si>
    <t>Presence and State change for one of the contacts</t>
  </si>
  <si>
    <t>1 MB Attachment transfer to a Chat peer</t>
  </si>
  <si>
    <t>Number of new Chats sessions for an Agent/hour</t>
  </si>
  <si>
    <t>chat sessions/hour</t>
  </si>
  <si>
    <t>Avg. no of messages exchaged(Sent and Received) per Agent /minute</t>
  </si>
  <si>
    <t>messages/minute</t>
  </si>
  <si>
    <t>Avg. no of characters per message</t>
  </si>
  <si>
    <t>Avg. no of contacts in address book per Agent</t>
  </si>
  <si>
    <t>Avg. no of 1 MB File Transfers per contact/hour</t>
  </si>
  <si>
    <t>transfers/minute</t>
  </si>
  <si>
    <t>Avg no of State changes per contact/hour</t>
  </si>
  <si>
    <t>Maximum Chat server Login Time for all users</t>
  </si>
  <si>
    <t>Cost to fetch one contact's Presence while Login</t>
  </si>
  <si>
    <t>Total no of Agents on Chat</t>
  </si>
  <si>
    <t>The total amount of time it should take for all agents to log into the Chat server.  If the deployment includes 300 agents and this value is set to 5 minutes.</t>
  </si>
  <si>
    <t>Chat Related Parameters</t>
  </si>
  <si>
    <t>Measured HTTP Bandwidth for an Agent</t>
  </si>
  <si>
    <t>Agent Chat Bandwidth</t>
  </si>
  <si>
    <t>Idle Bandwidth for an Agent to be Logged on to Chat Service</t>
  </si>
  <si>
    <t>Post-Login Desktop to IM&amp;P Server (chat) Bandwidth</t>
  </si>
  <si>
    <t>Team Messages Related Parameters</t>
  </si>
  <si>
    <t>Maximun No of Team Messages/hour</t>
  </si>
  <si>
    <t>Messages/Hour</t>
  </si>
  <si>
    <t>Single Team Message size</t>
  </si>
  <si>
    <t>Avg. Team Messages Bandwidth per Agent</t>
  </si>
  <si>
    <t>Number of non-SSO agents</t>
  </si>
  <si>
    <r>
      <rPr>
        <b/>
        <sz val="10"/>
        <rFont val="Arial"/>
        <family val="2"/>
      </rPr>
      <t>Note</t>
    </r>
    <r>
      <rPr>
        <sz val="10"/>
        <rFont val="Arial"/>
      </rPr>
      <t>: Only make changes to fields in yellow.</t>
    </r>
  </si>
  <si>
    <t xml:space="preserve">No of Skillgroups configured </t>
  </si>
  <si>
    <t>kbps/SkillGroup</t>
  </si>
  <si>
    <t>Total Queue Statistics Polling Bandwidth</t>
  </si>
  <si>
    <t>Queue Statistics bandwidth for a single poll/SkillGroup</t>
  </si>
  <si>
    <t>Finesse Server to CTI Server Bandwidth for Queue Statistics Polling</t>
  </si>
  <si>
    <t>Link</t>
  </si>
  <si>
    <r>
      <rPr>
        <b/>
        <sz val="10"/>
        <rFont val="Arial"/>
        <family val="2"/>
      </rPr>
      <t>NOTE:</t>
    </r>
    <r>
      <rPr>
        <sz val="10"/>
        <rFont val="Arial"/>
        <family val="2"/>
      </rPr>
      <t xml:space="preserve"> Bandwidth requirements realted to LiveData related reports(i.e. State and Call History reports etc) are not included in the Client to Finesse Server bandwidth calculations. The bandwidth related to LiveData reports has to be considered separately. Please, refer the following link below</t>
    </r>
  </si>
  <si>
    <t>Finesse 12.5</t>
  </si>
  <si>
    <t>Bytes_Per_Contact_In_Phonebook</t>
  </si>
  <si>
    <r>
      <t>DISCLAIMER</t>
    </r>
    <r>
      <rPr>
        <sz val="10"/>
        <color indexed="10"/>
        <rFont val="Arial"/>
        <family val="2"/>
      </rPr>
      <t xml:space="preserve">: This calculator is intended to provide a general understanding of Finesse bandwidth requirements and is provided as-is.  
Cisco makes no warrantee about the accuracy of the results.  This calculator is based on data collected from the Out-of-the-box Finesse Desktop.  It does not include the bandwidth required for 3rd party gadgets or any voice traffic or bandwidth associated with recording and monitoring.  These formulas do not include latency or jitter. </t>
    </r>
    <r>
      <rPr>
        <sz val="10"/>
        <color rgb="FFFF0000"/>
        <rFont val="Arial"/>
        <family val="2"/>
      </rPr>
      <t xml:space="preserve">The heartbeat frequency is increased in 12.5 which results in an additional bandwidth of 100 bytes/second. </t>
    </r>
  </si>
  <si>
    <t>contact(s)</t>
  </si>
  <si>
    <t>Reason codes(s)</t>
  </si>
  <si>
    <t>Average Number of Wrapup Reasons/Team</t>
  </si>
  <si>
    <t>Wrapup Reason codes(s)</t>
  </si>
  <si>
    <t>Average Number of Workflows/Team</t>
  </si>
  <si>
    <t>Workflow(s)</t>
  </si>
  <si>
    <t>Average Number of Phonebook contacts/Agent</t>
  </si>
  <si>
    <t xml:space="preserve">Assuming the reason code to take 250 bytes (50% of sum of all the tags and  max length of reason code label). </t>
  </si>
  <si>
    <t xml:space="preserve">Assuming the Workflow to take 1600 bytes (tags making 1525 bytes and 75 bytes for Workflow name, action name, description). </t>
  </si>
  <si>
    <t xml:space="preserve">Assuming the wrapup to take 150 bytes (tags making 125 bytes and 25 bytes for wrapup reason code as maximum length of wrapup reason can only be 40 bytes). </t>
  </si>
  <si>
    <t>Average Number of Not Ready Reason codes/Team in addition to system reason codes</t>
  </si>
  <si>
    <t>Average Number of Logout Reason codes/Team  in addition to system reason codes</t>
  </si>
  <si>
    <t>Average number of characters in Phonebooks contact first name</t>
  </si>
  <si>
    <t>Average number of characters in Phonebooks contact last name</t>
  </si>
  <si>
    <t>Average number of characters in Phonebooks contact phone number</t>
  </si>
  <si>
    <t>Average number of characters in Phonebooks contact description</t>
  </si>
  <si>
    <t>Average character size for phonebook contacts fields</t>
  </si>
  <si>
    <t>standard size of 180 is added for tags in phonebook contact.</t>
  </si>
  <si>
    <t>Client to Cloud Services Voice Login Bandwidth</t>
  </si>
  <si>
    <t>Post-Login Client to Cloud Services Bandwidth</t>
  </si>
  <si>
    <t>Number of Agents and Supervisors with Answers service enabled</t>
  </si>
  <si>
    <t>Number of Agents and Supervisors with Transcript service enabled</t>
  </si>
  <si>
    <t>agent(s) + supervisor(s)</t>
  </si>
  <si>
    <t xml:space="preserve">Percentage of Calls having CCAI Config assosiated </t>
  </si>
  <si>
    <t>Enabled in CCEAdmin &gt; Agents</t>
  </si>
  <si>
    <t>* CCAI Configuration Information</t>
  </si>
  <si>
    <t>Configured in ControlHub and CCEAdmin &gt; CallTypes</t>
  </si>
  <si>
    <t>Answers gadget Bandwidth</t>
  </si>
  <si>
    <t>12.6 
Client to Cloud</t>
  </si>
  <si>
    <t>Answers - Post Login</t>
  </si>
  <si>
    <t>Answers and Transcripts -  Login</t>
  </si>
  <si>
    <t>Bandwidth is same when either gadgets or both gadgets are enabled for the agent</t>
  </si>
  <si>
    <t>CCAI Gadgets -  Answers</t>
  </si>
  <si>
    <t>CCAI Gadgets - Transcripts</t>
  </si>
  <si>
    <t>CCAI Gadgets</t>
  </si>
  <si>
    <t>Total bandwidth / call per second</t>
  </si>
  <si>
    <t>Release 12.6</t>
  </si>
  <si>
    <t>12.6
Client to Server</t>
  </si>
  <si>
    <t>12.6
Server to CTI</t>
  </si>
  <si>
    <t>12.6 FIPPA</t>
  </si>
  <si>
    <t>Avg Bandwidth Per Agent Required</t>
  </si>
  <si>
    <t>Avg Bandwidth Per Supervisor Required</t>
  </si>
  <si>
    <t>CCAI Service Data</t>
  </si>
  <si>
    <t>CCAI config id</t>
  </si>
  <si>
    <t>Number of services Configured</t>
  </si>
  <si>
    <t>Call Details</t>
  </si>
  <si>
    <t>Active Call Details</t>
  </si>
  <si>
    <t>CCAI Service Configuration details Bandwidth</t>
  </si>
  <si>
    <t>Additional Bytes for CCAI single service configured</t>
  </si>
  <si>
    <t>Transcript - Post Login</t>
  </si>
  <si>
    <t>Transcript Gadget Bandwidth</t>
  </si>
  <si>
    <t>Number_of_TPG_Configured</t>
  </si>
  <si>
    <t xml:space="preserve">   Concurrent Agent sessions per TPG</t>
  </si>
  <si>
    <t xml:space="preserve">   Number of teams for supervisor</t>
  </si>
  <si>
    <t>team(s)</t>
  </si>
  <si>
    <t>The number of teams supervisor is monitoring.</t>
  </si>
  <si>
    <t>0 Default, 50 agents per team maximum, used in calculating tpg bandwidth, (considering 30 agents in call for 1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</si>
</sst>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6" x14ac:knownFonts="1">
    <font>
      <sz val="10"/>
      <name val="Arial"/>
    </font>
    <font>
      <b/>
      <sz val="10"/>
      <name val="Arial"/>
      <family val="2"/>
    </font>
    <font>
      <sz val="10"/>
      <name val="Arial"/>
      <family val="2"/>
    </font>
    <font>
      <sz val="8"/>
      <name val="Arial"/>
      <family val="2"/>
    </font>
    <font>
      <b/>
      <sz val="12"/>
      <name val="Arial"/>
      <family val="2"/>
    </font>
    <font>
      <sz val="12"/>
      <name val="Arial"/>
      <family val="2"/>
    </font>
    <font>
      <b/>
      <sz val="10"/>
      <color indexed="10"/>
      <name val="Arial"/>
      <family val="2"/>
    </font>
    <font>
      <sz val="10"/>
      <color indexed="10"/>
      <name val="Arial"/>
      <family val="2"/>
    </font>
    <font>
      <sz val="10"/>
      <color rgb="FFFF0000"/>
      <name val="Arial"/>
      <family val="2"/>
    </font>
    <font>
      <b/>
      <sz val="10"/>
      <color rgb="FFFF0000"/>
      <name val="Arial"/>
      <family val="2"/>
    </font>
    <font>
      <sz val="10"/>
      <name val="Arial"/>
      <family val="2"/>
    </font>
    <font>
      <b/>
      <sz val="14"/>
      <color theme="0"/>
      <name val="Arial"/>
      <family val="2"/>
    </font>
    <font>
      <sz val="10"/>
      <color theme="1"/>
      <name val="Arial"/>
      <family val="2"/>
    </font>
    <font>
      <u/>
      <sz val="10"/>
      <color theme="10"/>
      <name val="Arial"/>
      <family val="2"/>
    </font>
    <font>
      <u/>
      <sz val="14"/>
      <color theme="10"/>
      <name val="Arial"/>
      <family val="2"/>
    </font>
    <font>
      <b/>
      <sz val="14"/>
      <color rgb="FFFF0000"/>
      <name val="Arial"/>
      <family val="2"/>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diagonal/>
    </border>
    <border>
      <left style="thin">
        <color auto="1"/>
      </left>
      <right/>
      <top/>
      <bottom/>
      <diagonal/>
    </border>
    <border>
      <left/>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bottom/>
      <diagonal/>
    </border>
    <border>
      <left style="thin">
        <color auto="1"/>
      </left>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diagonal/>
    </border>
    <border>
      <left style="thin">
        <color auto="1"/>
      </left>
      <right/>
      <top style="thin">
        <color auto="1"/>
      </top>
      <bottom/>
      <diagonal/>
    </border>
    <border>
      <left style="medium">
        <color auto="1"/>
      </left>
      <right/>
      <top/>
      <bottom/>
      <diagonal/>
    </border>
  </borders>
  <cellStyleXfs count="4">
    <xf numFmtId="0" fontId="0" fillId="0" borderId="0"/>
    <xf numFmtId="43" fontId="10" fillId="0" borderId="0" applyFont="0" applyFill="0" applyBorder="0" applyAlignment="0" applyProtection="0"/>
    <xf numFmtId="43" fontId="2" fillId="0" borderId="0" applyFont="0" applyFill="0" applyBorder="0" applyAlignment="0" applyProtection="0"/>
    <xf numFmtId="0" fontId="13" fillId="0" borderId="0" applyNumberFormat="0" applyFill="0" applyBorder="0" applyAlignment="0" applyProtection="0"/>
  </cellStyleXfs>
  <cellXfs count="351">
    <xf numFmtId="0" fontId="0" fillId="0" borderId="0" xfId="0"/>
    <xf numFmtId="0" fontId="1" fillId="0" borderId="0" xfId="0" applyFont="1"/>
    <xf numFmtId="0" fontId="0" fillId="0" borderId="0" xfId="0" applyAlignment="1">
      <alignment horizontal="left" indent="1"/>
    </xf>
    <xf numFmtId="0" fontId="0" fillId="0" borderId="0" xfId="0" applyAlignment="1">
      <alignment horizontal="center"/>
    </xf>
    <xf numFmtId="0" fontId="2" fillId="0" borderId="0" xfId="0" applyFont="1"/>
    <xf numFmtId="0" fontId="0" fillId="2" borderId="1" xfId="0" applyFill="1" applyBorder="1" applyAlignment="1">
      <alignment horizontal="center"/>
    </xf>
    <xf numFmtId="0" fontId="0" fillId="2" borderId="1" xfId="0" applyFill="1" applyBorder="1"/>
    <xf numFmtId="0" fontId="0" fillId="0" borderId="0" xfId="0" applyAlignment="1">
      <alignment wrapText="1"/>
    </xf>
    <xf numFmtId="164" fontId="0" fillId="2" borderId="1" xfId="0" applyNumberFormat="1" applyFill="1" applyBorder="1" applyAlignment="1">
      <alignment horizontal="center"/>
    </xf>
    <xf numFmtId="0" fontId="0" fillId="2" borderId="1"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wrapText="1"/>
    </xf>
    <xf numFmtId="0" fontId="4" fillId="3" borderId="4" xfId="0" applyFont="1" applyFill="1" applyBorder="1" applyAlignment="1">
      <alignment horizontal="left" vertical="top"/>
    </xf>
    <xf numFmtId="0" fontId="1" fillId="3" borderId="5" xfId="0" applyFont="1" applyFill="1" applyBorder="1" applyAlignment="1">
      <alignment horizontal="center" vertical="top"/>
    </xf>
    <xf numFmtId="0" fontId="1" fillId="3" borderId="6" xfId="0" applyFont="1" applyFill="1" applyBorder="1" applyAlignment="1">
      <alignment vertical="top" wrapText="1"/>
    </xf>
    <xf numFmtId="0" fontId="0" fillId="2" borderId="7" xfId="0" applyFill="1" applyBorder="1" applyAlignment="1">
      <alignment vertical="top" wrapText="1"/>
    </xf>
    <xf numFmtId="0" fontId="2" fillId="2" borderId="8" xfId="0" applyFont="1" applyFill="1" applyBorder="1" applyAlignment="1">
      <alignment horizontal="left" vertical="top" indent="1"/>
    </xf>
    <xf numFmtId="0" fontId="2" fillId="2" borderId="9" xfId="0" applyFont="1" applyFill="1" applyBorder="1" applyAlignment="1">
      <alignment horizontal="left" vertical="top" indent="1"/>
    </xf>
    <xf numFmtId="0" fontId="5" fillId="0" borderId="0" xfId="0" applyFont="1"/>
    <xf numFmtId="0" fontId="0" fillId="2" borderId="8" xfId="0" applyFill="1" applyBorder="1" applyAlignment="1">
      <alignment horizontal="left" vertical="top" indent="1"/>
    </xf>
    <xf numFmtId="0" fontId="2" fillId="2" borderId="1" xfId="0" applyFont="1" applyFill="1" applyBorder="1" applyAlignment="1">
      <alignment vertical="top"/>
    </xf>
    <xf numFmtId="0" fontId="2" fillId="2" borderId="2" xfId="0" applyFont="1" applyFill="1" applyBorder="1" applyAlignment="1">
      <alignment vertical="top"/>
    </xf>
    <xf numFmtId="0" fontId="0" fillId="2" borderId="8" xfId="0" applyFill="1" applyBorder="1" applyAlignment="1">
      <alignment horizontal="left" vertical="top" indent="2"/>
    </xf>
    <xf numFmtId="0" fontId="0" fillId="2" borderId="9" xfId="0" applyFill="1" applyBorder="1" applyAlignment="1">
      <alignment horizontal="left" vertical="top" indent="2"/>
    </xf>
    <xf numFmtId="0" fontId="2" fillId="2" borderId="10" xfId="0" applyFont="1" applyFill="1" applyBorder="1" applyAlignment="1">
      <alignment horizontal="left" vertical="top" indent="1"/>
    </xf>
    <xf numFmtId="0" fontId="0" fillId="2" borderId="11" xfId="0" applyFill="1" applyBorder="1" applyAlignment="1">
      <alignment vertical="top"/>
    </xf>
    <xf numFmtId="0" fontId="0" fillId="2" borderId="13" xfId="0" applyFill="1" applyBorder="1" applyAlignment="1">
      <alignment horizontal="left" vertical="top" indent="1"/>
    </xf>
    <xf numFmtId="0" fontId="0" fillId="2" borderId="14" xfId="0" applyFill="1" applyBorder="1" applyAlignment="1">
      <alignment vertical="top"/>
    </xf>
    <xf numFmtId="0" fontId="2" fillId="2" borderId="13" xfId="0" applyFont="1" applyFill="1" applyBorder="1" applyAlignment="1">
      <alignment horizontal="left" vertical="top" indent="1"/>
    </xf>
    <xf numFmtId="0" fontId="0" fillId="2" borderId="15" xfId="0" applyFill="1" applyBorder="1" applyAlignment="1">
      <alignment vertical="top" wrapText="1"/>
    </xf>
    <xf numFmtId="164" fontId="0" fillId="2" borderId="14" xfId="0" applyNumberFormat="1" applyFill="1" applyBorder="1" applyAlignment="1">
      <alignment horizontal="center"/>
    </xf>
    <xf numFmtId="0" fontId="0" fillId="2" borderId="14" xfId="0" applyFill="1" applyBorder="1"/>
    <xf numFmtId="9" fontId="0" fillId="2" borderId="15" xfId="0" applyNumberFormat="1" applyFill="1" applyBorder="1" applyAlignment="1">
      <alignment horizontal="center" wrapText="1"/>
    </xf>
    <xf numFmtId="9" fontId="0" fillId="3" borderId="6" xfId="0" applyNumberFormat="1" applyFill="1" applyBorder="1" applyAlignment="1">
      <alignment horizontal="center" wrapText="1"/>
    </xf>
    <xf numFmtId="49" fontId="0" fillId="2" borderId="3" xfId="0" applyNumberFormat="1" applyFill="1" applyBorder="1" applyAlignment="1">
      <alignment vertical="top" wrapText="1"/>
    </xf>
    <xf numFmtId="0" fontId="0" fillId="2" borderId="20" xfId="0" applyFill="1" applyBorder="1" applyAlignment="1">
      <alignment vertical="top"/>
    </xf>
    <xf numFmtId="0" fontId="0" fillId="2" borderId="14" xfId="0" applyFill="1" applyBorder="1" applyAlignment="1">
      <alignment horizontal="center" vertical="top"/>
    </xf>
    <xf numFmtId="0" fontId="2" fillId="2" borderId="14" xfId="0" applyFont="1" applyFill="1" applyBorder="1" applyAlignment="1">
      <alignment horizontal="left" vertical="top"/>
    </xf>
    <xf numFmtId="0" fontId="2" fillId="2" borderId="15" xfId="0" applyFont="1" applyFill="1" applyBorder="1" applyAlignment="1">
      <alignment horizontal="left" vertical="top"/>
    </xf>
    <xf numFmtId="164" fontId="0" fillId="3" borderId="5" xfId="0" applyNumberFormat="1" applyFill="1" applyBorder="1" applyAlignment="1">
      <alignment horizontal="center"/>
    </xf>
    <xf numFmtId="0" fontId="0" fillId="3" borderId="5" xfId="0" applyFill="1" applyBorder="1"/>
    <xf numFmtId="0" fontId="2" fillId="3" borderId="4" xfId="0" applyFont="1" applyFill="1" applyBorder="1" applyAlignment="1">
      <alignment horizontal="right" indent="2"/>
    </xf>
    <xf numFmtId="0" fontId="2" fillId="2" borderId="13" xfId="0" applyFont="1" applyFill="1" applyBorder="1" applyAlignment="1">
      <alignment horizontal="left" indent="2"/>
    </xf>
    <xf numFmtId="0" fontId="2" fillId="2" borderId="8" xfId="0" applyFont="1" applyFill="1" applyBorder="1" applyAlignment="1">
      <alignment horizontal="left" indent="2"/>
    </xf>
    <xf numFmtId="0" fontId="0" fillId="2" borderId="8" xfId="0" applyFill="1" applyBorder="1" applyAlignment="1">
      <alignment horizontal="left" indent="2"/>
    </xf>
    <xf numFmtId="2" fontId="0" fillId="2" borderId="2" xfId="0" applyNumberFormat="1" applyFill="1" applyBorder="1" applyAlignment="1">
      <alignment horizontal="center" vertical="top"/>
    </xf>
    <xf numFmtId="0" fontId="1"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4" fillId="3" borderId="4" xfId="0" applyFont="1" applyFill="1" applyBorder="1" applyAlignment="1">
      <alignment horizontal="right" indent="2"/>
    </xf>
    <xf numFmtId="164" fontId="4" fillId="3" borderId="5" xfId="0" applyNumberFormat="1" applyFont="1" applyFill="1" applyBorder="1" applyAlignment="1">
      <alignment horizontal="center"/>
    </xf>
    <xf numFmtId="0" fontId="4" fillId="3" borderId="5" xfId="0" applyFont="1" applyFill="1" applyBorder="1"/>
    <xf numFmtId="9" fontId="5" fillId="3" borderId="6" xfId="0" applyNumberFormat="1" applyFont="1" applyFill="1" applyBorder="1" applyAlignment="1">
      <alignment horizontal="center" wrapText="1"/>
    </xf>
    <xf numFmtId="0" fontId="4" fillId="3" borderId="25" xfId="0" applyFont="1" applyFill="1" applyBorder="1" applyAlignment="1">
      <alignment horizontal="left" vertical="top" wrapText="1"/>
    </xf>
    <xf numFmtId="0" fontId="1" fillId="3" borderId="26" xfId="0" applyFont="1" applyFill="1" applyBorder="1" applyAlignment="1">
      <alignment horizontal="left" vertical="top" wrapText="1"/>
    </xf>
    <xf numFmtId="0" fontId="1" fillId="3" borderId="25" xfId="0" applyFont="1" applyFill="1" applyBorder="1" applyAlignment="1">
      <alignment horizontal="left" vertical="top" wrapText="1"/>
    </xf>
    <xf numFmtId="0" fontId="0" fillId="0" borderId="0" xfId="0" applyFill="1" applyBorder="1" applyAlignment="1"/>
    <xf numFmtId="0" fontId="0" fillId="4" borderId="2" xfId="0" applyFill="1" applyBorder="1" applyAlignment="1" applyProtection="1">
      <alignment horizontal="center" vertical="top"/>
      <protection locked="0"/>
    </xf>
    <xf numFmtId="0" fontId="4" fillId="3" borderId="28" xfId="0" applyFont="1" applyFill="1" applyBorder="1"/>
    <xf numFmtId="0" fontId="0" fillId="3" borderId="29" xfId="0" applyFill="1" applyBorder="1" applyAlignment="1">
      <alignment horizontal="center"/>
    </xf>
    <xf numFmtId="0" fontId="0" fillId="3" borderId="29" xfId="0" applyFill="1" applyBorder="1"/>
    <xf numFmtId="0" fontId="0" fillId="3" borderId="30" xfId="0" applyFill="1" applyBorder="1" applyAlignment="1">
      <alignment wrapText="1"/>
    </xf>
    <xf numFmtId="0" fontId="4" fillId="3" borderId="31" xfId="0" applyFont="1" applyFill="1" applyBorder="1"/>
    <xf numFmtId="0" fontId="0" fillId="3" borderId="32" xfId="0" applyFill="1" applyBorder="1" applyAlignment="1">
      <alignment horizontal="center"/>
    </xf>
    <xf numFmtId="0" fontId="0" fillId="3" borderId="32" xfId="0" applyFill="1" applyBorder="1"/>
    <xf numFmtId="0" fontId="0" fillId="3" borderId="33" xfId="0" applyFill="1" applyBorder="1" applyAlignment="1">
      <alignment wrapText="1"/>
    </xf>
    <xf numFmtId="0" fontId="0" fillId="4" borderId="14" xfId="0" applyFill="1" applyBorder="1" applyAlignment="1" applyProtection="1">
      <alignment horizontal="center" vertical="top"/>
      <protection locked="0"/>
    </xf>
    <xf numFmtId="0" fontId="0" fillId="4" borderId="1" xfId="0" applyFill="1" applyBorder="1" applyAlignment="1" applyProtection="1">
      <alignment horizontal="center" vertical="top"/>
      <protection locked="0"/>
    </xf>
    <xf numFmtId="0" fontId="2" fillId="4" borderId="14" xfId="0" applyFont="1" applyFill="1" applyBorder="1" applyAlignment="1" applyProtection="1">
      <alignment horizontal="center" vertical="top"/>
      <protection locked="0"/>
    </xf>
    <xf numFmtId="9" fontId="0" fillId="4" borderId="14" xfId="0" applyNumberFormat="1" applyFill="1" applyBorder="1" applyAlignment="1" applyProtection="1">
      <alignment horizontal="center" vertical="top"/>
      <protection locked="0"/>
    </xf>
    <xf numFmtId="9" fontId="0" fillId="4" borderId="1" xfId="0" applyNumberFormat="1" applyFill="1" applyBorder="1" applyAlignment="1" applyProtection="1">
      <alignment horizontal="center" vertical="top"/>
      <protection locked="0"/>
    </xf>
    <xf numFmtId="0" fontId="0" fillId="4" borderId="11" xfId="0" applyFill="1" applyBorder="1" applyAlignment="1" applyProtection="1">
      <alignment horizontal="center" vertical="top"/>
      <protection locked="0"/>
    </xf>
    <xf numFmtId="0" fontId="0" fillId="2" borderId="14" xfId="0" applyFill="1" applyBorder="1" applyAlignment="1">
      <alignment horizontal="center"/>
    </xf>
    <xf numFmtId="164" fontId="1" fillId="3" borderId="20" xfId="0" applyNumberFormat="1" applyFont="1" applyFill="1" applyBorder="1" applyAlignment="1">
      <alignment horizontal="center" wrapText="1"/>
    </xf>
    <xf numFmtId="0" fontId="0" fillId="0" borderId="0" xfId="0" applyNumberFormat="1"/>
    <xf numFmtId="0" fontId="5" fillId="0" borderId="0" xfId="0" applyNumberFormat="1" applyFont="1"/>
    <xf numFmtId="0" fontId="1" fillId="3" borderId="34"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36" xfId="0" applyFont="1" applyFill="1" applyBorder="1" applyAlignment="1">
      <alignment horizontal="left" vertical="top" wrapText="1"/>
    </xf>
    <xf numFmtId="9" fontId="0" fillId="2" borderId="1" xfId="0" applyNumberFormat="1" applyFill="1" applyBorder="1" applyAlignment="1">
      <alignment horizontal="center" wrapText="1"/>
    </xf>
    <xf numFmtId="0" fontId="2" fillId="2" borderId="1" xfId="0" applyFont="1" applyFill="1" applyBorder="1" applyAlignment="1">
      <alignment horizontal="left" vertical="top" wrapText="1"/>
    </xf>
    <xf numFmtId="0" fontId="8" fillId="2" borderId="8" xfId="0" applyFont="1" applyFill="1" applyBorder="1" applyAlignment="1">
      <alignment horizontal="left" vertical="top" indent="1"/>
    </xf>
    <xf numFmtId="0" fontId="8" fillId="2" borderId="20" xfId="0" applyFont="1" applyFill="1" applyBorder="1" applyAlignment="1">
      <alignment vertical="top"/>
    </xf>
    <xf numFmtId="0" fontId="8" fillId="2" borderId="8" xfId="0" applyFont="1" applyFill="1" applyBorder="1" applyAlignment="1">
      <alignment horizontal="left" vertical="top" indent="2"/>
    </xf>
    <xf numFmtId="0" fontId="8" fillId="4" borderId="1" xfId="0" applyFont="1" applyFill="1" applyBorder="1" applyAlignment="1" applyProtection="1">
      <alignment horizontal="center" vertical="top"/>
      <protection locked="0"/>
    </xf>
    <xf numFmtId="0" fontId="8" fillId="2" borderId="1" xfId="0" applyFont="1" applyFill="1" applyBorder="1" applyAlignment="1">
      <alignment vertical="top"/>
    </xf>
    <xf numFmtId="0" fontId="8" fillId="2" borderId="7" xfId="0" applyFont="1" applyFill="1" applyBorder="1" applyAlignment="1">
      <alignment vertical="top" wrapText="1"/>
    </xf>
    <xf numFmtId="0" fontId="8" fillId="2" borderId="7" xfId="0" applyFont="1" applyFill="1" applyBorder="1" applyAlignment="1">
      <alignment wrapText="1"/>
    </xf>
    <xf numFmtId="164" fontId="8" fillId="2" borderId="14" xfId="0" applyNumberFormat="1" applyFont="1" applyFill="1" applyBorder="1" applyAlignment="1">
      <alignment horizontal="center"/>
    </xf>
    <xf numFmtId="0" fontId="8" fillId="2" borderId="8" xfId="0" applyFont="1" applyFill="1" applyBorder="1" applyAlignment="1">
      <alignment horizontal="left" indent="2"/>
    </xf>
    <xf numFmtId="0" fontId="8" fillId="2" borderId="1" xfId="0" applyFont="1" applyFill="1" applyBorder="1"/>
    <xf numFmtId="0" fontId="2" fillId="2" borderId="1" xfId="0" applyFont="1" applyFill="1" applyBorder="1" applyAlignment="1">
      <alignment horizontal="left" vertical="top" indent="1"/>
    </xf>
    <xf numFmtId="0" fontId="2" fillId="2" borderId="1" xfId="0" applyFont="1" applyFill="1" applyBorder="1" applyAlignment="1">
      <alignment vertical="top" wrapText="1"/>
    </xf>
    <xf numFmtId="0" fontId="8" fillId="2" borderId="17" xfId="0" applyFont="1" applyFill="1" applyBorder="1" applyAlignment="1">
      <alignment horizontal="left" vertical="top" indent="1"/>
    </xf>
    <xf numFmtId="0" fontId="8" fillId="4" borderId="18" xfId="0" applyFont="1" applyFill="1" applyBorder="1" applyAlignment="1" applyProtection="1">
      <alignment horizontal="center" vertical="top"/>
      <protection locked="0"/>
    </xf>
    <xf numFmtId="0" fontId="8" fillId="2" borderId="18" xfId="0" applyFont="1" applyFill="1" applyBorder="1" applyAlignment="1">
      <alignment vertical="top"/>
    </xf>
    <xf numFmtId="0" fontId="8" fillId="2" borderId="19" xfId="0" applyFont="1" applyFill="1" applyBorder="1" applyAlignment="1">
      <alignment vertical="top" wrapText="1"/>
    </xf>
    <xf numFmtId="0" fontId="2" fillId="2" borderId="12" xfId="0" applyFont="1" applyFill="1" applyBorder="1" applyAlignment="1">
      <alignment vertical="top" wrapText="1"/>
    </xf>
    <xf numFmtId="0" fontId="2" fillId="2" borderId="1" xfId="0" applyFont="1" applyFill="1" applyBorder="1"/>
    <xf numFmtId="9" fontId="0" fillId="2" borderId="1" xfId="0" applyNumberFormat="1" applyFill="1" applyBorder="1" applyAlignment="1">
      <alignment horizontal="center" vertical="top"/>
    </xf>
    <xf numFmtId="0" fontId="0" fillId="2" borderId="1" xfId="0" applyFill="1" applyBorder="1" applyAlignment="1">
      <alignment vertical="top" wrapText="1"/>
    </xf>
    <xf numFmtId="0" fontId="2" fillId="2" borderId="1" xfId="0" applyFont="1" applyFill="1" applyBorder="1" applyAlignment="1">
      <alignment horizontal="right" vertical="top" indent="1"/>
    </xf>
    <xf numFmtId="0" fontId="11" fillId="5" borderId="0" xfId="0" applyFont="1" applyFill="1"/>
    <xf numFmtId="0" fontId="11" fillId="5" borderId="0" xfId="0" applyFont="1" applyFill="1" applyAlignment="1">
      <alignment horizontal="center"/>
    </xf>
    <xf numFmtId="0" fontId="11" fillId="5" borderId="0" xfId="0" applyFont="1" applyFill="1" applyAlignment="1">
      <alignment wrapText="1"/>
    </xf>
    <xf numFmtId="0" fontId="8" fillId="2" borderId="22" xfId="0" applyFont="1" applyFill="1" applyBorder="1" applyAlignment="1">
      <alignment horizontal="left" vertical="top" indent="1"/>
    </xf>
    <xf numFmtId="0" fontId="8" fillId="4" borderId="16" xfId="0" applyFont="1" applyFill="1" applyBorder="1" applyAlignment="1" applyProtection="1">
      <alignment horizontal="center" vertical="top"/>
      <protection locked="0"/>
    </xf>
    <xf numFmtId="0" fontId="8" fillId="2" borderId="16" xfId="0" applyFont="1" applyFill="1" applyBorder="1" applyAlignment="1">
      <alignment vertical="top"/>
    </xf>
    <xf numFmtId="0" fontId="12" fillId="2" borderId="1" xfId="0" applyFont="1" applyFill="1" applyBorder="1" applyAlignment="1">
      <alignment horizontal="left" vertical="top" indent="1"/>
    </xf>
    <xf numFmtId="0" fontId="12" fillId="4" borderId="1" xfId="0" applyFont="1" applyFill="1" applyBorder="1" applyAlignment="1" applyProtection="1">
      <alignment horizontal="center" vertical="top"/>
      <protection locked="0"/>
    </xf>
    <xf numFmtId="0" fontId="12" fillId="2" borderId="1" xfId="0" applyFont="1" applyFill="1" applyBorder="1" applyAlignment="1">
      <alignment vertical="top"/>
    </xf>
    <xf numFmtId="0" fontId="0" fillId="4" borderId="0" xfId="0" applyFill="1" applyBorder="1" applyAlignment="1" applyProtection="1">
      <alignment horizontal="center" vertical="top"/>
      <protection locked="0"/>
    </xf>
    <xf numFmtId="165" fontId="0" fillId="2" borderId="1" xfId="1" applyNumberFormat="1" applyFont="1" applyFill="1" applyBorder="1" applyAlignment="1">
      <alignment horizontal="center"/>
    </xf>
    <xf numFmtId="43" fontId="0" fillId="0" borderId="0" xfId="0" applyNumberFormat="1"/>
    <xf numFmtId="165" fontId="4" fillId="3" borderId="5" xfId="1" applyNumberFormat="1" applyFont="1" applyFill="1" applyBorder="1" applyAlignment="1">
      <alignment horizontal="center"/>
    </xf>
    <xf numFmtId="0" fontId="1" fillId="3" borderId="24" xfId="0" applyFont="1" applyFill="1" applyBorder="1" applyAlignment="1"/>
    <xf numFmtId="0" fontId="1" fillId="3" borderId="47" xfId="0" applyFont="1" applyFill="1" applyBorder="1" applyAlignment="1">
      <alignment horizontal="center"/>
    </xf>
    <xf numFmtId="0" fontId="1" fillId="3" borderId="48" xfId="0" applyFont="1" applyFill="1" applyBorder="1" applyAlignment="1">
      <alignment horizontal="center"/>
    </xf>
    <xf numFmtId="164" fontId="1" fillId="3" borderId="7" xfId="0" applyNumberFormat="1" applyFont="1" applyFill="1" applyBorder="1" applyAlignment="1">
      <alignment horizontal="center" wrapText="1"/>
    </xf>
    <xf numFmtId="0" fontId="1" fillId="3" borderId="49" xfId="0" applyFont="1" applyFill="1" applyBorder="1" applyAlignment="1"/>
    <xf numFmtId="0" fontId="2" fillId="2" borderId="8" xfId="0" applyFont="1" applyFill="1" applyBorder="1" applyAlignment="1">
      <alignment horizontal="left" indent="1"/>
    </xf>
    <xf numFmtId="0" fontId="0" fillId="2" borderId="13" xfId="0" applyFill="1" applyBorder="1" applyAlignment="1">
      <alignment horizontal="left" indent="1"/>
    </xf>
    <xf numFmtId="0" fontId="0" fillId="2" borderId="8" xfId="0" applyFill="1" applyBorder="1" applyAlignment="1">
      <alignment horizontal="left" indent="1"/>
    </xf>
    <xf numFmtId="0" fontId="0" fillId="2" borderId="8" xfId="0" applyFill="1" applyBorder="1"/>
    <xf numFmtId="0" fontId="2" fillId="2" borderId="8" xfId="0" applyFont="1" applyFill="1" applyBorder="1"/>
    <xf numFmtId="0" fontId="2" fillId="2" borderId="9" xfId="0" applyFont="1" applyFill="1" applyBorder="1"/>
    <xf numFmtId="0" fontId="0" fillId="2" borderId="2" xfId="0" applyFill="1" applyBorder="1" applyAlignment="1">
      <alignment horizontal="center"/>
    </xf>
    <xf numFmtId="0" fontId="12" fillId="2" borderId="1" xfId="0" applyFont="1" applyFill="1" applyBorder="1" applyAlignment="1">
      <alignment vertical="top" wrapText="1"/>
    </xf>
    <xf numFmtId="0" fontId="6" fillId="0" borderId="0" xfId="0" applyFont="1" applyAlignment="1">
      <alignment horizontal="left" vertical="top" wrapText="1"/>
    </xf>
    <xf numFmtId="9" fontId="0" fillId="2" borderId="15" xfId="0" applyNumberFormat="1" applyFill="1" applyBorder="1" applyAlignment="1">
      <alignment horizontal="left" vertical="top" wrapText="1"/>
    </xf>
    <xf numFmtId="0" fontId="1" fillId="3" borderId="0" xfId="0" applyFont="1" applyFill="1" applyBorder="1" applyAlignment="1"/>
    <xf numFmtId="0" fontId="0" fillId="2" borderId="51" xfId="0" applyFill="1" applyBorder="1" applyAlignment="1">
      <alignment horizontal="center"/>
    </xf>
    <xf numFmtId="0" fontId="1" fillId="3" borderId="0" xfId="0" applyFont="1" applyFill="1" applyBorder="1" applyAlignment="1">
      <alignment horizontal="left"/>
    </xf>
    <xf numFmtId="0" fontId="1" fillId="3" borderId="45" xfId="0" applyFont="1" applyFill="1" applyBorder="1" applyAlignment="1">
      <alignment horizontal="left"/>
    </xf>
    <xf numFmtId="0" fontId="0" fillId="2" borderId="0" xfId="0" applyFill="1" applyBorder="1" applyAlignment="1">
      <alignment horizontal="center"/>
    </xf>
    <xf numFmtId="0" fontId="1" fillId="3" borderId="45" xfId="0" applyFont="1" applyFill="1" applyBorder="1" applyAlignment="1">
      <alignment horizontal="center"/>
    </xf>
    <xf numFmtId="0" fontId="2" fillId="2" borderId="1" xfId="0" applyFont="1" applyFill="1" applyBorder="1" applyAlignment="1">
      <alignment horizontal="center"/>
    </xf>
    <xf numFmtId="0" fontId="2" fillId="2" borderId="51" xfId="0" applyFont="1" applyFill="1" applyBorder="1" applyAlignment="1">
      <alignment horizontal="center"/>
    </xf>
    <xf numFmtId="0" fontId="2" fillId="2" borderId="9" xfId="0" applyFont="1" applyFill="1" applyBorder="1" applyAlignment="1">
      <alignment horizontal="left" vertical="top" indent="2"/>
    </xf>
    <xf numFmtId="0" fontId="2" fillId="2" borderId="7" xfId="0" applyFont="1" applyFill="1" applyBorder="1" applyAlignment="1">
      <alignment vertical="top" wrapText="1"/>
    </xf>
    <xf numFmtId="0" fontId="2" fillId="2" borderId="15" xfId="0" applyFont="1" applyFill="1" applyBorder="1" applyAlignment="1">
      <alignment vertical="top" wrapText="1"/>
    </xf>
    <xf numFmtId="0" fontId="6" fillId="0" borderId="0" xfId="0" applyFont="1" applyAlignment="1">
      <alignment horizontal="left" vertical="top" wrapText="1"/>
    </xf>
    <xf numFmtId="0" fontId="2" fillId="2" borderId="22" xfId="0" applyFont="1" applyFill="1" applyBorder="1"/>
    <xf numFmtId="0" fontId="0" fillId="2" borderId="16" xfId="0" applyFill="1" applyBorder="1" applyAlignment="1">
      <alignment horizontal="center"/>
    </xf>
    <xf numFmtId="0" fontId="0" fillId="6" borderId="51" xfId="0" applyFill="1" applyBorder="1" applyAlignment="1">
      <alignment horizontal="center"/>
    </xf>
    <xf numFmtId="0" fontId="1" fillId="6" borderId="0" xfId="0" applyFont="1" applyFill="1" applyBorder="1" applyAlignment="1">
      <alignment horizontal="left"/>
    </xf>
    <xf numFmtId="0" fontId="1" fillId="6" borderId="45" xfId="0" applyFont="1" applyFill="1" applyBorder="1" applyAlignment="1">
      <alignment horizontal="left"/>
    </xf>
    <xf numFmtId="0" fontId="0" fillId="6" borderId="0" xfId="0" applyFill="1" applyBorder="1" applyAlignment="1">
      <alignment horizontal="center"/>
    </xf>
    <xf numFmtId="0" fontId="0" fillId="6" borderId="1" xfId="0" applyFill="1" applyBorder="1" applyAlignment="1">
      <alignment horizontal="center"/>
    </xf>
    <xf numFmtId="0" fontId="12" fillId="2" borderId="8" xfId="0" applyFont="1" applyFill="1" applyBorder="1" applyAlignment="1">
      <alignment horizontal="left" indent="2"/>
    </xf>
    <xf numFmtId="164" fontId="12" fillId="2" borderId="14" xfId="0" applyNumberFormat="1" applyFont="1" applyFill="1" applyBorder="1" applyAlignment="1">
      <alignment horizontal="center"/>
    </xf>
    <xf numFmtId="0" fontId="12" fillId="2" borderId="1" xfId="0" applyFont="1" applyFill="1" applyBorder="1"/>
    <xf numFmtId="9" fontId="12" fillId="2" borderId="15" xfId="0" applyNumberFormat="1" applyFont="1" applyFill="1" applyBorder="1" applyAlignment="1">
      <alignment horizontal="center" wrapText="1"/>
    </xf>
    <xf numFmtId="165" fontId="2" fillId="2" borderId="51" xfId="1" applyNumberFormat="1" applyFont="1" applyFill="1" applyBorder="1" applyAlignment="1">
      <alignment horizontal="center"/>
    </xf>
    <xf numFmtId="165" fontId="0" fillId="2" borderId="51" xfId="1" applyNumberFormat="1" applyFont="1" applyFill="1" applyBorder="1" applyAlignment="1">
      <alignment horizontal="center"/>
    </xf>
    <xf numFmtId="0" fontId="6" fillId="0" borderId="0" xfId="0" applyFont="1" applyAlignment="1">
      <alignment horizontal="left" vertical="top" wrapText="1"/>
    </xf>
    <xf numFmtId="165" fontId="2" fillId="2" borderId="51" xfId="1" applyNumberFormat="1" applyFont="1" applyFill="1" applyBorder="1" applyAlignment="1">
      <alignment horizontal="right"/>
    </xf>
    <xf numFmtId="165" fontId="0" fillId="2" borderId="51" xfId="1" applyNumberFormat="1" applyFont="1" applyFill="1" applyBorder="1" applyAlignment="1">
      <alignment horizontal="right"/>
    </xf>
    <xf numFmtId="0" fontId="2" fillId="2" borderId="51" xfId="0" applyFont="1" applyFill="1" applyBorder="1" applyAlignment="1">
      <alignment horizontal="right"/>
    </xf>
    <xf numFmtId="0" fontId="2" fillId="2" borderId="1" xfId="0" applyFont="1" applyFill="1" applyBorder="1" applyAlignment="1">
      <alignment horizontal="right"/>
    </xf>
    <xf numFmtId="0" fontId="0" fillId="2" borderId="51" xfId="0" applyFill="1" applyBorder="1" applyAlignment="1">
      <alignment horizontal="right"/>
    </xf>
    <xf numFmtId="0" fontId="0" fillId="2" borderId="1" xfId="0" applyFill="1" applyBorder="1" applyAlignment="1">
      <alignment horizontal="right"/>
    </xf>
    <xf numFmtId="0" fontId="0" fillId="2" borderId="16" xfId="0" applyFill="1" applyBorder="1" applyAlignment="1">
      <alignment horizontal="right"/>
    </xf>
    <xf numFmtId="0" fontId="0" fillId="2" borderId="2" xfId="0" applyFill="1" applyBorder="1" applyAlignment="1">
      <alignment horizontal="right"/>
    </xf>
    <xf numFmtId="0" fontId="1" fillId="3" borderId="0" xfId="0" applyFont="1" applyFill="1" applyBorder="1" applyAlignment="1">
      <alignment horizontal="right"/>
    </xf>
    <xf numFmtId="0" fontId="1" fillId="3" borderId="45" xfId="0" applyFont="1" applyFill="1" applyBorder="1" applyAlignment="1">
      <alignment horizontal="right"/>
    </xf>
    <xf numFmtId="0" fontId="0" fillId="2" borderId="0" xfId="0" applyFill="1" applyBorder="1" applyAlignment="1">
      <alignment horizontal="right"/>
    </xf>
    <xf numFmtId="0" fontId="2" fillId="2" borderId="15" xfId="0" applyFont="1" applyFill="1" applyBorder="1" applyAlignment="1">
      <alignment horizontal="right"/>
    </xf>
    <xf numFmtId="0" fontId="1" fillId="3" borderId="46" xfId="0" applyFont="1" applyFill="1" applyBorder="1" applyAlignment="1">
      <alignment horizontal="right"/>
    </xf>
    <xf numFmtId="0" fontId="0" fillId="0" borderId="50" xfId="0" applyBorder="1" applyAlignment="1">
      <alignment horizontal="right"/>
    </xf>
    <xf numFmtId="0" fontId="2" fillId="2" borderId="7" xfId="0" applyFont="1" applyFill="1" applyBorder="1" applyAlignment="1">
      <alignment horizontal="right"/>
    </xf>
    <xf numFmtId="0" fontId="0" fillId="2" borderId="7" xfId="0" applyFill="1" applyBorder="1" applyAlignment="1">
      <alignment horizontal="right"/>
    </xf>
    <xf numFmtId="0" fontId="0" fillId="2" borderId="37" xfId="0" applyFill="1" applyBorder="1" applyAlignment="1">
      <alignment horizontal="right"/>
    </xf>
    <xf numFmtId="0" fontId="0" fillId="2" borderId="3" xfId="0" applyFill="1" applyBorder="1" applyAlignment="1">
      <alignment horizontal="right"/>
    </xf>
    <xf numFmtId="0" fontId="2" fillId="2" borderId="17" xfId="0" applyFont="1" applyFill="1" applyBorder="1"/>
    <xf numFmtId="0" fontId="2" fillId="6" borderId="17" xfId="0" applyFont="1" applyFill="1" applyBorder="1"/>
    <xf numFmtId="0" fontId="2" fillId="6" borderId="9" xfId="0" applyFont="1" applyFill="1" applyBorder="1"/>
    <xf numFmtId="9" fontId="0" fillId="2" borderId="37" xfId="0" applyNumberFormat="1" applyFill="1" applyBorder="1" applyAlignment="1">
      <alignment horizontal="left" vertical="top" wrapText="1"/>
    </xf>
    <xf numFmtId="0" fontId="0" fillId="2" borderId="52" xfId="0" applyFill="1" applyBorder="1" applyAlignment="1">
      <alignment horizontal="center"/>
    </xf>
    <xf numFmtId="0" fontId="0" fillId="6" borderId="23" xfId="0" applyFill="1" applyBorder="1" applyAlignment="1">
      <alignment horizontal="center"/>
    </xf>
    <xf numFmtId="0" fontId="2" fillId="2" borderId="23" xfId="0" applyFont="1" applyFill="1" applyBorder="1" applyAlignment="1">
      <alignment horizontal="center"/>
    </xf>
    <xf numFmtId="0" fontId="2" fillId="2" borderId="23" xfId="0" applyFont="1" applyFill="1" applyBorder="1" applyAlignment="1">
      <alignment horizontal="right"/>
    </xf>
    <xf numFmtId="0" fontId="2" fillId="2" borderId="21" xfId="0" applyFont="1" applyFill="1" applyBorder="1" applyAlignment="1">
      <alignment horizontal="right"/>
    </xf>
    <xf numFmtId="165" fontId="2" fillId="2" borderId="1" xfId="1" applyNumberFormat="1" applyFont="1" applyFill="1" applyBorder="1" applyAlignment="1">
      <alignment horizontal="right"/>
    </xf>
    <xf numFmtId="0" fontId="0" fillId="2" borderId="1" xfId="0" applyFont="1" applyFill="1" applyBorder="1" applyAlignment="1">
      <alignment horizontal="right"/>
    </xf>
    <xf numFmtId="0" fontId="0" fillId="2" borderId="8" xfId="0" applyFont="1" applyFill="1" applyBorder="1" applyAlignment="1">
      <alignment horizontal="left" vertical="top" indent="1"/>
    </xf>
    <xf numFmtId="0" fontId="0" fillId="2" borderId="53" xfId="0" applyFont="1" applyFill="1" applyBorder="1" applyAlignment="1">
      <alignment horizontal="left" vertical="top" indent="1"/>
    </xf>
    <xf numFmtId="0" fontId="0" fillId="2" borderId="13" xfId="0" applyFont="1" applyFill="1" applyBorder="1" applyAlignment="1">
      <alignment horizontal="left" vertical="top" indent="1"/>
    </xf>
    <xf numFmtId="0" fontId="0" fillId="2" borderId="14" xfId="0" applyFont="1" applyFill="1" applyBorder="1" applyAlignment="1">
      <alignment horizontal="left" vertical="top"/>
    </xf>
    <xf numFmtId="0" fontId="0" fillId="2" borderId="15" xfId="0" applyFont="1" applyFill="1" applyBorder="1" applyAlignment="1">
      <alignment horizontal="left" vertical="top"/>
    </xf>
    <xf numFmtId="0" fontId="12" fillId="2" borderId="20" xfId="0" applyFont="1" applyFill="1" applyBorder="1" applyAlignment="1">
      <alignment vertical="top"/>
    </xf>
    <xf numFmtId="0" fontId="0" fillId="2" borderId="1" xfId="0" applyFont="1" applyFill="1" applyBorder="1" applyAlignment="1">
      <alignment horizontal="left" vertical="top" indent="2"/>
    </xf>
    <xf numFmtId="0" fontId="12" fillId="2" borderId="22" xfId="0" applyFont="1" applyFill="1" applyBorder="1" applyAlignment="1">
      <alignment horizontal="left" vertical="top" indent="1"/>
    </xf>
    <xf numFmtId="0" fontId="0" fillId="2" borderId="21" xfId="0" applyFill="1" applyBorder="1" applyAlignment="1">
      <alignment horizontal="left" vertical="top" wrapText="1"/>
    </xf>
    <xf numFmtId="0" fontId="0" fillId="7" borderId="13" xfId="0" applyFont="1" applyFill="1" applyBorder="1" applyAlignment="1">
      <alignment horizontal="left" vertical="top" indent="1"/>
    </xf>
    <xf numFmtId="0" fontId="0" fillId="7" borderId="9" xfId="0" applyFont="1" applyFill="1" applyBorder="1" applyAlignment="1">
      <alignment horizontal="left" vertical="top" indent="1"/>
    </xf>
    <xf numFmtId="0" fontId="0" fillId="7" borderId="13" xfId="0" applyFill="1" applyBorder="1" applyAlignment="1">
      <alignment horizontal="left" vertical="top" indent="1"/>
    </xf>
    <xf numFmtId="0" fontId="0" fillId="7" borderId="8" xfId="0" applyFill="1" applyBorder="1" applyAlignment="1">
      <alignment horizontal="left" vertical="top" indent="1"/>
    </xf>
    <xf numFmtId="0" fontId="0" fillId="7" borderId="1" xfId="0" applyFont="1" applyFill="1" applyBorder="1" applyAlignment="1">
      <alignment horizontal="left" vertical="top" indent="2"/>
    </xf>
    <xf numFmtId="165" fontId="0" fillId="7" borderId="1" xfId="1" applyNumberFormat="1" applyFont="1" applyFill="1" applyBorder="1" applyAlignment="1">
      <alignment horizontal="center"/>
    </xf>
    <xf numFmtId="0" fontId="0" fillId="7" borderId="1" xfId="0" applyFill="1" applyBorder="1"/>
    <xf numFmtId="9" fontId="0" fillId="7" borderId="1" xfId="0" applyNumberFormat="1" applyFill="1" applyBorder="1" applyAlignment="1">
      <alignment horizontal="center" wrapText="1"/>
    </xf>
    <xf numFmtId="0" fontId="0" fillId="7" borderId="1" xfId="0" applyFill="1" applyBorder="1" applyAlignment="1">
      <alignment vertical="top" wrapText="1"/>
    </xf>
    <xf numFmtId="0" fontId="0" fillId="7" borderId="8" xfId="0" applyFill="1" applyBorder="1" applyAlignment="1">
      <alignment horizontal="left" indent="2"/>
    </xf>
    <xf numFmtId="164" fontId="0" fillId="7" borderId="1" xfId="0" applyNumberFormat="1" applyFill="1" applyBorder="1" applyAlignment="1">
      <alignment horizontal="center"/>
    </xf>
    <xf numFmtId="9" fontId="0" fillId="7" borderId="15" xfId="0" applyNumberFormat="1" applyFill="1" applyBorder="1" applyAlignment="1">
      <alignment horizontal="center" wrapText="1"/>
    </xf>
    <xf numFmtId="0" fontId="12" fillId="7" borderId="8" xfId="0" applyFont="1" applyFill="1" applyBorder="1" applyAlignment="1">
      <alignment horizontal="left" indent="2"/>
    </xf>
    <xf numFmtId="164" fontId="12" fillId="7" borderId="14" xfId="0" applyNumberFormat="1" applyFont="1" applyFill="1" applyBorder="1" applyAlignment="1">
      <alignment horizontal="center"/>
    </xf>
    <xf numFmtId="0" fontId="12" fillId="7" borderId="1" xfId="0" applyFont="1" applyFill="1" applyBorder="1"/>
    <xf numFmtId="9" fontId="12" fillId="7" borderId="15" xfId="0" applyNumberFormat="1" applyFont="1" applyFill="1" applyBorder="1" applyAlignment="1">
      <alignment horizontal="center" wrapText="1"/>
    </xf>
    <xf numFmtId="0" fontId="0" fillId="7" borderId="8" xfId="0" applyFont="1" applyFill="1" applyBorder="1" applyAlignment="1">
      <alignment horizontal="left" indent="2"/>
    </xf>
    <xf numFmtId="0" fontId="2" fillId="7" borderId="1" xfId="0" applyFont="1" applyFill="1" applyBorder="1"/>
    <xf numFmtId="0" fontId="0" fillId="7" borderId="13" xfId="0" applyFont="1" applyFill="1" applyBorder="1" applyAlignment="1">
      <alignment horizontal="left" indent="1"/>
    </xf>
    <xf numFmtId="0" fontId="0" fillId="7" borderId="8" xfId="0" applyFont="1" applyFill="1" applyBorder="1" applyAlignment="1">
      <alignment horizontal="left" indent="1"/>
    </xf>
    <xf numFmtId="0" fontId="0" fillId="7" borderId="22" xfId="0" applyFont="1" applyFill="1" applyBorder="1" applyAlignment="1">
      <alignment horizontal="left" indent="1"/>
    </xf>
    <xf numFmtId="0" fontId="0" fillId="7" borderId="1" xfId="0" applyFont="1" applyFill="1" applyBorder="1" applyAlignment="1">
      <alignment horizontal="left" indent="1"/>
    </xf>
    <xf numFmtId="0" fontId="0" fillId="7" borderId="8" xfId="0" applyFill="1" applyBorder="1" applyAlignment="1">
      <alignment horizontal="left" indent="1"/>
    </xf>
    <xf numFmtId="0" fontId="2" fillId="7" borderId="8" xfId="0" applyFont="1" applyFill="1" applyBorder="1" applyAlignment="1">
      <alignment horizontal="left" indent="1"/>
    </xf>
    <xf numFmtId="0" fontId="0" fillId="7" borderId="8" xfId="0" applyFont="1" applyFill="1" applyBorder="1"/>
    <xf numFmtId="0" fontId="2" fillId="4" borderId="14" xfId="0" applyFont="1" applyFill="1" applyBorder="1" applyAlignment="1" applyProtection="1">
      <alignment horizontal="center" vertical="top"/>
      <protection locked="0"/>
    </xf>
    <xf numFmtId="9" fontId="0" fillId="4" borderId="11" xfId="0" applyNumberFormat="1" applyFill="1" applyBorder="1" applyAlignment="1" applyProtection="1">
      <alignment horizontal="center" vertical="top"/>
      <protection locked="0"/>
    </xf>
    <xf numFmtId="9" fontId="0" fillId="4" borderId="14" xfId="0" applyNumberFormat="1" applyFill="1" applyBorder="1" applyAlignment="1" applyProtection="1">
      <alignment horizontal="center" vertical="top"/>
      <protection locked="0"/>
    </xf>
    <xf numFmtId="9" fontId="0" fillId="4" borderId="1" xfId="0" applyNumberFormat="1" applyFill="1" applyBorder="1" applyAlignment="1" applyProtection="1">
      <alignment horizontal="center" vertical="top"/>
      <protection locked="0"/>
    </xf>
    <xf numFmtId="9" fontId="8" fillId="4" borderId="1" xfId="0" applyNumberFormat="1" applyFont="1" applyFill="1" applyBorder="1" applyAlignment="1" applyProtection="1">
      <alignment horizontal="center" vertical="top"/>
      <protection locked="0"/>
    </xf>
    <xf numFmtId="9" fontId="0" fillId="2" borderId="1" xfId="0" applyNumberFormat="1" applyFill="1" applyBorder="1" applyAlignment="1">
      <alignment horizontal="center" vertical="top"/>
    </xf>
    <xf numFmtId="0" fontId="0" fillId="8" borderId="14" xfId="0" applyFill="1" applyBorder="1" applyAlignment="1">
      <alignment horizontal="center"/>
    </xf>
    <xf numFmtId="0" fontId="0" fillId="8" borderId="51" xfId="0" applyFill="1" applyBorder="1" applyAlignment="1">
      <alignment horizontal="center"/>
    </xf>
    <xf numFmtId="0" fontId="2" fillId="8" borderId="51" xfId="0" applyFont="1" applyFill="1" applyBorder="1" applyAlignment="1">
      <alignment horizontal="center"/>
    </xf>
    <xf numFmtId="0" fontId="0" fillId="8" borderId="1" xfId="0" applyFill="1" applyBorder="1" applyAlignment="1">
      <alignment horizontal="center"/>
    </xf>
    <xf numFmtId="0" fontId="2" fillId="0" borderId="0" xfId="0" applyFont="1" applyAlignment="1">
      <alignment wrapText="1"/>
    </xf>
    <xf numFmtId="0" fontId="1" fillId="3" borderId="50" xfId="0" applyFont="1" applyFill="1" applyBorder="1" applyAlignment="1">
      <alignment horizontal="center"/>
    </xf>
    <xf numFmtId="165" fontId="2" fillId="2" borderId="20" xfId="1" applyNumberFormat="1" applyFont="1" applyFill="1" applyBorder="1" applyAlignment="1">
      <alignment horizontal="right"/>
    </xf>
    <xf numFmtId="0" fontId="2" fillId="2" borderId="38" xfId="0" applyFont="1" applyFill="1" applyBorder="1" applyAlignment="1">
      <alignment horizontal="left" indent="1"/>
    </xf>
    <xf numFmtId="0" fontId="0" fillId="2" borderId="39" xfId="0" applyFill="1" applyBorder="1" applyAlignment="1">
      <alignment horizontal="center"/>
    </xf>
    <xf numFmtId="0" fontId="0" fillId="6" borderId="45" xfId="0" applyFill="1" applyBorder="1" applyAlignment="1">
      <alignment horizontal="center"/>
    </xf>
    <xf numFmtId="0" fontId="0" fillId="2" borderId="45" xfId="0" applyFill="1" applyBorder="1" applyAlignment="1">
      <alignment horizontal="center"/>
    </xf>
    <xf numFmtId="0" fontId="1" fillId="3" borderId="46" xfId="0" applyFont="1" applyFill="1" applyBorder="1" applyAlignment="1">
      <alignment horizontal="center"/>
    </xf>
    <xf numFmtId="165" fontId="0" fillId="2" borderId="51" xfId="2" applyNumberFormat="1" applyFont="1" applyFill="1" applyBorder="1" applyAlignment="1">
      <alignment horizontal="right"/>
    </xf>
    <xf numFmtId="165" fontId="0" fillId="2" borderId="45" xfId="2" applyNumberFormat="1" applyFont="1" applyFill="1" applyBorder="1" applyAlignment="1">
      <alignment horizontal="right"/>
    </xf>
    <xf numFmtId="0" fontId="2" fillId="2" borderId="46" xfId="0" applyFont="1" applyFill="1" applyBorder="1" applyAlignment="1">
      <alignment horizontal="center"/>
    </xf>
    <xf numFmtId="0" fontId="2" fillId="2" borderId="27" xfId="0" applyFont="1" applyFill="1" applyBorder="1" applyAlignment="1">
      <alignment horizontal="left" vertical="top" indent="1"/>
    </xf>
    <xf numFmtId="0" fontId="2" fillId="4" borderId="27" xfId="0" applyFont="1" applyFill="1" applyBorder="1" applyAlignment="1" applyProtection="1">
      <alignment horizontal="center" vertical="top"/>
      <protection locked="0"/>
    </xf>
    <xf numFmtId="0" fontId="2" fillId="2" borderId="27" xfId="0" applyFont="1" applyFill="1" applyBorder="1" applyAlignment="1">
      <alignment vertical="top"/>
    </xf>
    <xf numFmtId="0" fontId="0" fillId="0" borderId="27" xfId="0" applyBorder="1" applyAlignment="1">
      <alignment wrapText="1"/>
    </xf>
    <xf numFmtId="0" fontId="12" fillId="2" borderId="27" xfId="0" applyFont="1" applyFill="1" applyBorder="1" applyAlignment="1">
      <alignment vertical="top"/>
    </xf>
    <xf numFmtId="0" fontId="2" fillId="0" borderId="27" xfId="0" applyFont="1" applyBorder="1" applyAlignment="1">
      <alignment wrapText="1"/>
    </xf>
    <xf numFmtId="0" fontId="2" fillId="2" borderId="27" xfId="0" applyFont="1" applyFill="1" applyBorder="1" applyAlignment="1">
      <alignment horizontal="left" indent="2"/>
    </xf>
    <xf numFmtId="0" fontId="2" fillId="3" borderId="27" xfId="0" applyFont="1" applyFill="1" applyBorder="1" applyAlignment="1">
      <alignment horizontal="right" indent="2"/>
    </xf>
    <xf numFmtId="0" fontId="0" fillId="3" borderId="27" xfId="0" applyFill="1" applyBorder="1"/>
    <xf numFmtId="0" fontId="4" fillId="3" borderId="27" xfId="0" applyFont="1" applyFill="1" applyBorder="1" applyAlignment="1">
      <alignment horizontal="right" indent="2"/>
    </xf>
    <xf numFmtId="164" fontId="4" fillId="3" borderId="27" xfId="0" applyNumberFormat="1" applyFont="1" applyFill="1" applyBorder="1" applyAlignment="1">
      <alignment horizontal="center"/>
    </xf>
    <xf numFmtId="164" fontId="0" fillId="3" borderId="27" xfId="0" applyNumberFormat="1" applyFill="1" applyBorder="1" applyAlignment="1">
      <alignment horizontal="center"/>
    </xf>
    <xf numFmtId="0" fontId="2" fillId="3" borderId="27" xfId="0" applyFont="1" applyFill="1" applyBorder="1"/>
    <xf numFmtId="0" fontId="11" fillId="5" borderId="42" xfId="0" applyFont="1" applyFill="1" applyBorder="1"/>
    <xf numFmtId="0" fontId="11" fillId="5" borderId="43" xfId="0" applyFont="1" applyFill="1" applyBorder="1"/>
    <xf numFmtId="0" fontId="2" fillId="2" borderId="55" xfId="0" applyFont="1" applyFill="1" applyBorder="1" applyAlignment="1">
      <alignment vertical="top"/>
    </xf>
    <xf numFmtId="0" fontId="2" fillId="4" borderId="34" xfId="0" applyFont="1" applyFill="1" applyBorder="1" applyAlignment="1" applyProtection="1">
      <alignment horizontal="center" vertical="top"/>
      <protection locked="0"/>
    </xf>
    <xf numFmtId="0" fontId="2" fillId="4" borderId="26" xfId="0" applyFont="1" applyFill="1" applyBorder="1" applyAlignment="1" applyProtection="1">
      <alignment horizontal="center" vertical="top"/>
      <protection locked="0"/>
    </xf>
    <xf numFmtId="0" fontId="0" fillId="6" borderId="14" xfId="0" applyFill="1" applyBorder="1" applyAlignment="1">
      <alignment horizontal="center" vertical="top"/>
    </xf>
    <xf numFmtId="0" fontId="8" fillId="2" borderId="16" xfId="0" applyFont="1" applyFill="1" applyBorder="1" applyAlignment="1">
      <alignment vertical="top" wrapText="1"/>
    </xf>
    <xf numFmtId="0" fontId="12" fillId="2" borderId="16" xfId="0" applyFont="1" applyFill="1" applyBorder="1" applyAlignment="1">
      <alignment vertical="top" wrapText="1"/>
    </xf>
    <xf numFmtId="0" fontId="2" fillId="4" borderId="27" xfId="0" applyFont="1" applyFill="1" applyBorder="1" applyAlignment="1"/>
    <xf numFmtId="0" fontId="1" fillId="3" borderId="4" xfId="0" applyFont="1" applyFill="1" applyBorder="1" applyAlignment="1">
      <alignment horizontal="right" indent="2"/>
    </xf>
    <xf numFmtId="0" fontId="2" fillId="2" borderId="14" xfId="0" applyFont="1" applyFill="1" applyBorder="1"/>
    <xf numFmtId="0" fontId="14" fillId="0" borderId="0" xfId="3" applyFont="1"/>
    <xf numFmtId="165" fontId="2" fillId="2" borderId="20" xfId="2" applyNumberFormat="1" applyFont="1" applyFill="1" applyBorder="1" applyAlignment="1">
      <alignment horizontal="right"/>
    </xf>
    <xf numFmtId="165" fontId="2" fillId="2" borderId="51" xfId="2" applyNumberFormat="1" applyFont="1" applyFill="1" applyBorder="1" applyAlignment="1">
      <alignment horizontal="right"/>
    </xf>
    <xf numFmtId="165" fontId="2" fillId="2" borderId="23" xfId="2" applyNumberFormat="1" applyFont="1" applyFill="1" applyBorder="1" applyAlignment="1">
      <alignment horizontal="right"/>
    </xf>
    <xf numFmtId="0" fontId="0" fillId="2" borderId="56" xfId="0" applyFont="1" applyFill="1" applyBorder="1" applyAlignment="1">
      <alignment horizontal="left" vertical="top" indent="2"/>
    </xf>
    <xf numFmtId="0" fontId="0" fillId="2" borderId="16" xfId="0" applyFill="1" applyBorder="1"/>
    <xf numFmtId="0" fontId="0" fillId="2" borderId="57" xfId="0" applyFill="1" applyBorder="1" applyAlignment="1">
      <alignment vertical="top" wrapText="1"/>
    </xf>
    <xf numFmtId="0" fontId="6" fillId="0" borderId="0" xfId="0" applyFont="1" applyAlignment="1">
      <alignment horizontal="left" vertical="top" wrapText="1"/>
    </xf>
    <xf numFmtId="0" fontId="8" fillId="2" borderId="12" xfId="0" applyFont="1" applyFill="1" applyBorder="1" applyAlignment="1">
      <alignment vertical="top" wrapText="1"/>
    </xf>
    <xf numFmtId="0" fontId="8" fillId="0" borderId="0" xfId="0" applyFont="1"/>
    <xf numFmtId="0" fontId="8" fillId="0" borderId="0" xfId="0" applyNumberFormat="1" applyFont="1"/>
    <xf numFmtId="0" fontId="15" fillId="5" borderId="0" xfId="0" applyFont="1" applyFill="1"/>
    <xf numFmtId="0" fontId="15" fillId="5" borderId="0" xfId="0" applyFont="1" applyFill="1" applyAlignment="1">
      <alignment horizontal="center"/>
    </xf>
    <xf numFmtId="0" fontId="15" fillId="5" borderId="0" xfId="0" applyFont="1" applyFill="1" applyAlignment="1">
      <alignment wrapText="1"/>
    </xf>
    <xf numFmtId="9" fontId="8" fillId="2" borderId="1" xfId="0" applyNumberFormat="1" applyFont="1" applyFill="1" applyBorder="1" applyAlignment="1">
      <alignment horizontal="center" wrapText="1"/>
    </xf>
    <xf numFmtId="0" fontId="13" fillId="0" borderId="0" xfId="3"/>
    <xf numFmtId="0" fontId="1" fillId="3" borderId="0" xfId="0" applyFont="1" applyFill="1" applyBorder="1" applyAlignment="1">
      <alignment horizontal="center"/>
    </xf>
    <xf numFmtId="0" fontId="8" fillId="2" borderId="14" xfId="0" applyFont="1" applyFill="1" applyBorder="1" applyAlignment="1">
      <alignment horizontal="center"/>
    </xf>
    <xf numFmtId="0" fontId="8" fillId="2" borderId="1" xfId="0" applyFont="1" applyFill="1" applyBorder="1" applyAlignment="1">
      <alignment horizontal="center"/>
    </xf>
    <xf numFmtId="0" fontId="2" fillId="2" borderId="3" xfId="0" applyFont="1" applyFill="1" applyBorder="1" applyAlignment="1">
      <alignment vertical="top" wrapText="1"/>
    </xf>
    <xf numFmtId="0" fontId="0" fillId="2" borderId="12" xfId="0" applyFill="1" applyBorder="1" applyAlignment="1">
      <alignment vertical="top" wrapText="1"/>
    </xf>
    <xf numFmtId="1" fontId="2" fillId="2" borderId="51" xfId="0" applyNumberFormat="1" applyFont="1" applyFill="1" applyBorder="1" applyAlignment="1">
      <alignment horizontal="right"/>
    </xf>
    <xf numFmtId="2" fontId="0" fillId="3" borderId="5" xfId="0" applyNumberFormat="1" applyFill="1" applyBorder="1" applyAlignment="1">
      <alignment horizontal="center"/>
    </xf>
    <xf numFmtId="9" fontId="0" fillId="4" borderId="2" xfId="0" applyNumberFormat="1" applyFill="1" applyBorder="1" applyAlignment="1" applyProtection="1">
      <alignment horizontal="center" vertical="top"/>
      <protection locked="0"/>
    </xf>
    <xf numFmtId="0" fontId="2" fillId="2" borderId="13" xfId="0" applyFont="1" applyFill="1" applyBorder="1" applyAlignment="1">
      <alignment horizontal="left" indent="1"/>
    </xf>
    <xf numFmtId="0" fontId="2" fillId="2" borderId="1" xfId="0" applyFont="1" applyFill="1" applyBorder="1" applyAlignment="1">
      <alignment horizontal="left" vertical="top" indent="2"/>
    </xf>
    <xf numFmtId="165" fontId="2" fillId="2" borderId="1" xfId="1" applyNumberFormat="1" applyFont="1" applyFill="1" applyBorder="1" applyAlignment="1">
      <alignment horizontal="center"/>
    </xf>
    <xf numFmtId="0" fontId="2" fillId="2" borderId="14" xfId="0" applyFont="1" applyFill="1" applyBorder="1" applyAlignment="1">
      <alignment vertical="top"/>
    </xf>
    <xf numFmtId="0" fontId="2" fillId="2" borderId="45" xfId="0" applyFont="1" applyFill="1" applyBorder="1" applyAlignment="1">
      <alignment horizontal="right"/>
    </xf>
    <xf numFmtId="0" fontId="2" fillId="2" borderId="58" xfId="0" applyFont="1" applyFill="1" applyBorder="1" applyAlignment="1">
      <alignment horizontal="left" vertical="top" indent="1"/>
    </xf>
    <xf numFmtId="0" fontId="0" fillId="2" borderId="0" xfId="0" applyFill="1" applyBorder="1" applyAlignment="1">
      <alignment vertical="top"/>
    </xf>
    <xf numFmtId="0" fontId="2" fillId="2" borderId="50" xfId="0" applyFont="1" applyFill="1" applyBorder="1" applyAlignment="1">
      <alignment vertical="top" wrapText="1"/>
    </xf>
    <xf numFmtId="0" fontId="2" fillId="2" borderId="38" xfId="0" applyFont="1" applyFill="1" applyBorder="1" applyAlignment="1">
      <alignment horizontal="left" indent="2"/>
    </xf>
    <xf numFmtId="164" fontId="0" fillId="2" borderId="39" xfId="0" applyNumberFormat="1" applyFill="1" applyBorder="1" applyAlignment="1">
      <alignment horizontal="center"/>
    </xf>
    <xf numFmtId="0" fontId="0" fillId="2" borderId="39" xfId="0" applyFill="1" applyBorder="1"/>
    <xf numFmtId="9" fontId="0" fillId="2" borderId="46" xfId="0" applyNumberFormat="1" applyFill="1" applyBorder="1" applyAlignment="1">
      <alignment horizontal="center" wrapText="1"/>
    </xf>
    <xf numFmtId="164" fontId="2" fillId="2" borderId="8" xfId="0" applyNumberFormat="1" applyFont="1" applyFill="1" applyBorder="1" applyAlignment="1">
      <alignment horizontal="center"/>
    </xf>
    <xf numFmtId="1" fontId="0" fillId="4" borderId="1" xfId="0" applyNumberFormat="1" applyFill="1" applyBorder="1" applyAlignment="1" applyProtection="1">
      <alignment horizontal="center" vertical="top"/>
      <protection locked="0"/>
    </xf>
    <xf numFmtId="0" fontId="6" fillId="0" borderId="0" xfId="0" applyFont="1" applyAlignment="1">
      <alignment horizontal="left" vertical="top" wrapText="1"/>
    </xf>
    <xf numFmtId="0" fontId="0" fillId="2" borderId="21" xfId="0" applyFill="1" applyBorder="1" applyAlignment="1">
      <alignment horizontal="left" vertical="top" wrapText="1"/>
    </xf>
    <xf numFmtId="0" fontId="4" fillId="3" borderId="41" xfId="0" applyFont="1" applyFill="1" applyBorder="1" applyAlignment="1">
      <alignment horizontal="left" vertical="top"/>
    </xf>
    <xf numFmtId="0" fontId="4" fillId="3" borderId="42" xfId="0" applyFont="1" applyFill="1" applyBorder="1" applyAlignment="1">
      <alignment horizontal="left" vertical="top"/>
    </xf>
    <xf numFmtId="0" fontId="4" fillId="3" borderId="43" xfId="0" applyFont="1" applyFill="1" applyBorder="1" applyAlignment="1">
      <alignment horizontal="left" vertical="top"/>
    </xf>
    <xf numFmtId="0" fontId="4" fillId="3" borderId="41" xfId="0" applyFont="1" applyFill="1" applyBorder="1" applyAlignment="1">
      <alignment horizontal="left" indent="2"/>
    </xf>
    <xf numFmtId="0" fontId="0" fillId="0" borderId="42" xfId="0" applyBorder="1" applyAlignment="1">
      <alignment horizontal="left" indent="2"/>
    </xf>
    <xf numFmtId="0" fontId="0" fillId="0" borderId="54" xfId="0" applyBorder="1" applyAlignment="1">
      <alignment horizontal="left" indent="2"/>
    </xf>
    <xf numFmtId="0" fontId="9" fillId="3" borderId="44" xfId="0" applyFont="1" applyFill="1" applyBorder="1" applyAlignment="1">
      <alignment horizontal="left" vertical="top" indent="1"/>
    </xf>
    <xf numFmtId="0" fontId="9" fillId="3" borderId="45" xfId="0" applyFont="1" applyFill="1" applyBorder="1" applyAlignment="1">
      <alignment horizontal="left" vertical="top" indent="1"/>
    </xf>
    <xf numFmtId="0" fontId="9" fillId="3" borderId="46" xfId="0" applyFont="1" applyFill="1" applyBorder="1" applyAlignment="1">
      <alignment horizontal="left" vertical="top" indent="1"/>
    </xf>
    <xf numFmtId="0" fontId="9" fillId="3" borderId="38" xfId="0" applyFont="1" applyFill="1" applyBorder="1" applyAlignment="1">
      <alignment horizontal="left" vertical="top" indent="1"/>
    </xf>
    <xf numFmtId="0" fontId="9" fillId="3" borderId="39" xfId="0" applyFont="1" applyFill="1" applyBorder="1" applyAlignment="1">
      <alignment horizontal="left" vertical="top" indent="1"/>
    </xf>
    <xf numFmtId="0" fontId="9" fillId="3" borderId="40" xfId="0" applyFont="1" applyFill="1" applyBorder="1" applyAlignment="1">
      <alignment horizontal="left" vertical="top" indent="1"/>
    </xf>
    <xf numFmtId="0" fontId="1" fillId="3" borderId="38" xfId="0" applyFont="1" applyFill="1" applyBorder="1" applyAlignment="1">
      <alignment horizontal="left" vertical="top" indent="1"/>
    </xf>
    <xf numFmtId="0" fontId="1" fillId="3" borderId="39" xfId="0" applyFont="1" applyFill="1" applyBorder="1" applyAlignment="1">
      <alignment horizontal="left" vertical="top" indent="1"/>
    </xf>
    <xf numFmtId="0" fontId="1" fillId="3" borderId="40" xfId="0" applyFont="1" applyFill="1" applyBorder="1" applyAlignment="1">
      <alignment horizontal="left" vertical="top" indent="1"/>
    </xf>
    <xf numFmtId="0" fontId="4" fillId="3" borderId="30" xfId="0" applyFont="1" applyFill="1" applyBorder="1" applyAlignment="1">
      <alignment horizontal="left" vertical="top"/>
    </xf>
    <xf numFmtId="0" fontId="4" fillId="3" borderId="31" xfId="0" applyFont="1" applyFill="1" applyBorder="1" applyAlignment="1">
      <alignment horizontal="left" vertical="top"/>
    </xf>
    <xf numFmtId="0" fontId="4" fillId="3" borderId="32" xfId="0" applyFont="1" applyFill="1" applyBorder="1" applyAlignment="1">
      <alignment horizontal="left" vertical="top"/>
    </xf>
    <xf numFmtId="0" fontId="4" fillId="3" borderId="33" xfId="0" applyFont="1" applyFill="1" applyBorder="1" applyAlignment="1">
      <alignment horizontal="left" vertical="top"/>
    </xf>
    <xf numFmtId="9" fontId="0" fillId="2" borderId="37" xfId="0" applyNumberFormat="1" applyFill="1" applyBorder="1" applyAlignment="1">
      <alignment horizontal="left" vertical="top" wrapText="1"/>
    </xf>
    <xf numFmtId="9" fontId="0" fillId="2" borderId="15" xfId="0" applyNumberFormat="1" applyFill="1" applyBorder="1" applyAlignment="1">
      <alignment horizontal="left" vertical="top" wrapText="1"/>
    </xf>
    <xf numFmtId="0" fontId="13" fillId="0" borderId="0" xfId="3" applyAlignment="1">
      <alignment horizontal="left" vertical="top" wrapText="1"/>
    </xf>
    <xf numFmtId="0" fontId="4" fillId="3" borderId="4" xfId="0" applyFont="1" applyFill="1" applyBorder="1" applyAlignment="1">
      <alignment horizontal="left"/>
    </xf>
    <xf numFmtId="0" fontId="4" fillId="3" borderId="5" xfId="0" applyFont="1" applyFill="1" applyBorder="1" applyAlignment="1">
      <alignment horizontal="left"/>
    </xf>
    <xf numFmtId="0" fontId="4" fillId="3" borderId="6" xfId="0" applyFont="1" applyFill="1" applyBorder="1" applyAlignment="1">
      <alignment horizontal="left"/>
    </xf>
    <xf numFmtId="0" fontId="1" fillId="3" borderId="41" xfId="0" applyFont="1" applyFill="1" applyBorder="1" applyAlignment="1">
      <alignment horizontal="left" vertical="top" indent="1"/>
    </xf>
    <xf numFmtId="0" fontId="1" fillId="3" borderId="42" xfId="0" applyFont="1" applyFill="1" applyBorder="1" applyAlignment="1">
      <alignment horizontal="left" vertical="top" indent="1"/>
    </xf>
    <xf numFmtId="0" fontId="1" fillId="3" borderId="43" xfId="0" applyFont="1" applyFill="1" applyBorder="1" applyAlignment="1">
      <alignment horizontal="left" vertical="top" indent="1"/>
    </xf>
    <xf numFmtId="0" fontId="6" fillId="0" borderId="20" xfId="0" applyFont="1" applyBorder="1" applyAlignment="1">
      <alignment horizontal="left" vertical="top" wrapText="1"/>
    </xf>
    <xf numFmtId="0" fontId="6" fillId="0" borderId="39" xfId="0" applyFont="1" applyBorder="1" applyAlignment="1">
      <alignment horizontal="left" vertical="top" wrapText="1"/>
    </xf>
    <xf numFmtId="0" fontId="0" fillId="0" borderId="39" xfId="0" applyBorder="1" applyAlignment="1">
      <alignment horizontal="left" vertical="top" wrapText="1"/>
    </xf>
    <xf numFmtId="0" fontId="0" fillId="0" borderId="53" xfId="0" applyBorder="1" applyAlignment="1">
      <alignment horizontal="left" vertical="top" wrapText="1"/>
    </xf>
    <xf numFmtId="0" fontId="2" fillId="0" borderId="20" xfId="0" applyFont="1" applyBorder="1" applyAlignment="1">
      <alignment wrapText="1"/>
    </xf>
    <xf numFmtId="0" fontId="0" fillId="0" borderId="39" xfId="0" applyBorder="1" applyAlignment="1">
      <alignment wrapText="1"/>
    </xf>
    <xf numFmtId="0" fontId="0" fillId="0" borderId="53" xfId="0" applyBorder="1" applyAlignment="1">
      <alignment wrapText="1"/>
    </xf>
    <xf numFmtId="0" fontId="11" fillId="5" borderId="0" xfId="0" applyFont="1" applyFill="1" applyAlignment="1"/>
    <xf numFmtId="0" fontId="0" fillId="0" borderId="0" xfId="0" applyAlignment="1"/>
    <xf numFmtId="0" fontId="1" fillId="3" borderId="49" xfId="0" applyFont="1" applyFill="1" applyBorder="1" applyAlignment="1">
      <alignment horizontal="center"/>
    </xf>
    <xf numFmtId="0" fontId="1" fillId="3" borderId="24" xfId="0" applyFont="1" applyFill="1" applyBorder="1" applyAlignment="1">
      <alignment horizontal="center"/>
    </xf>
    <xf numFmtId="0" fontId="1" fillId="3" borderId="38" xfId="0" applyFont="1" applyFill="1" applyBorder="1" applyAlignment="1">
      <alignment horizontal="center"/>
    </xf>
    <xf numFmtId="0" fontId="1" fillId="3" borderId="39" xfId="0" applyFont="1" applyFill="1" applyBorder="1" applyAlignment="1">
      <alignment horizontal="center"/>
    </xf>
    <xf numFmtId="0" fontId="1" fillId="3" borderId="17" xfId="0" applyFont="1" applyFill="1" applyBorder="1" applyAlignment="1">
      <alignment horizontal="left" vertical="top"/>
    </xf>
    <xf numFmtId="0" fontId="1" fillId="3" borderId="8" xfId="0" applyFont="1" applyFill="1" applyBorder="1" applyAlignment="1">
      <alignment horizontal="left" vertical="top"/>
    </xf>
    <xf numFmtId="0" fontId="1" fillId="3" borderId="38" xfId="0" applyFont="1" applyFill="1" applyBorder="1" applyAlignment="1">
      <alignment horizontal="left"/>
    </xf>
    <xf numFmtId="0" fontId="1" fillId="3" borderId="39" xfId="0" applyFont="1" applyFill="1" applyBorder="1" applyAlignment="1">
      <alignment horizontal="left"/>
    </xf>
    <xf numFmtId="0" fontId="1" fillId="3" borderId="49" xfId="0" applyFont="1" applyFill="1" applyBorder="1" applyAlignment="1">
      <alignment horizontal="left"/>
    </xf>
    <xf numFmtId="0" fontId="1" fillId="3" borderId="24" xfId="0" applyFont="1" applyFill="1" applyBorder="1" applyAlignment="1">
      <alignment horizontal="left"/>
    </xf>
  </cellXfs>
  <cellStyles count="4">
    <cellStyle name="Comma" xfId="1" builtinId="3"/>
    <cellStyle name="Comma 2" xfId="2" xr:uid="{00000000-0005-0000-0000-000001000000}"/>
    <cellStyle name="Hyperlink" xfId="3" builtinId="8"/>
    <cellStyle name="Normal" xfId="0" builtinId="0"/>
  </cellStyles>
  <dxfs count="4">
    <dxf>
      <fill>
        <patternFill>
          <bgColor indexed="10"/>
        </patternFill>
      </fill>
    </dxf>
    <dxf>
      <fill>
        <patternFill>
          <bgColor indexed="42"/>
        </patternFill>
      </fill>
    </dxf>
    <dxf>
      <fill>
        <patternFill>
          <bgColor indexed="10"/>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1*@kbps" TargetMode="External"/><Relationship Id="rId1" Type="http://schemas.openxmlformats.org/officeDocument/2006/relationships/hyperlink" Target="https://www.cisco.com/c/en/us/td/docs/voice_ip_comm/cust_contact/contact_center/icm_enterprise/icm_enterprise_12_0_1/Design/Guide/ucce_b_soldg-for-unified-cce-120/ucce_b_soldg-for-unified-cce-120_chapter_01100.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7"/>
  <sheetViews>
    <sheetView workbookViewId="0">
      <selection activeCell="A2" sqref="A2"/>
    </sheetView>
  </sheetViews>
  <sheetFormatPr defaultColWidth="8.85546875" defaultRowHeight="12.75" x14ac:dyDescent="0.2"/>
  <cols>
    <col min="1" max="1" width="109.7109375" customWidth="1"/>
  </cols>
  <sheetData>
    <row r="1" spans="1:2" ht="15.75" x14ac:dyDescent="0.2">
      <c r="A1" s="53" t="s">
        <v>73</v>
      </c>
    </row>
    <row r="2" spans="1:2" ht="13.5" thickBot="1" x14ac:dyDescent="0.25">
      <c r="A2" s="54" t="s">
        <v>254</v>
      </c>
    </row>
    <row r="3" spans="1:2" ht="13.5" thickBot="1" x14ac:dyDescent="0.25">
      <c r="A3" s="46"/>
    </row>
    <row r="4" spans="1:2" x14ac:dyDescent="0.2">
      <c r="A4" s="55" t="s">
        <v>65</v>
      </c>
    </row>
    <row r="5" spans="1:2" x14ac:dyDescent="0.2">
      <c r="A5" s="80" t="s">
        <v>119</v>
      </c>
    </row>
    <row r="6" spans="1:2" ht="25.5" customHeight="1" x14ac:dyDescent="0.2">
      <c r="A6" s="80" t="s">
        <v>120</v>
      </c>
    </row>
    <row r="7" spans="1:2" ht="38.25" customHeight="1" x14ac:dyDescent="0.2">
      <c r="A7" s="80" t="s">
        <v>121</v>
      </c>
    </row>
    <row r="8" spans="1:2" ht="13.5" thickBot="1" x14ac:dyDescent="0.25">
      <c r="A8" s="48"/>
    </row>
    <row r="9" spans="1:2" x14ac:dyDescent="0.2">
      <c r="A9" s="76" t="s">
        <v>64</v>
      </c>
    </row>
    <row r="10" spans="1:2" ht="38.25" x14ac:dyDescent="0.2">
      <c r="A10" s="77" t="s">
        <v>122</v>
      </c>
    </row>
    <row r="11" spans="1:2" ht="23.25" customHeight="1" x14ac:dyDescent="0.2">
      <c r="A11" s="77" t="s">
        <v>123</v>
      </c>
    </row>
    <row r="12" spans="1:2" ht="25.5" x14ac:dyDescent="0.2">
      <c r="A12" s="77" t="s">
        <v>151</v>
      </c>
    </row>
    <row r="13" spans="1:2" ht="25.5" x14ac:dyDescent="0.2">
      <c r="A13" s="77" t="s">
        <v>152</v>
      </c>
    </row>
    <row r="14" spans="1:2" ht="26.25" thickBot="1" x14ac:dyDescent="0.25">
      <c r="A14" s="78" t="s">
        <v>124</v>
      </c>
    </row>
    <row r="15" spans="1:2" x14ac:dyDescent="0.2">
      <c r="A15" s="47"/>
    </row>
    <row r="16" spans="1:2" ht="68.25" customHeight="1" x14ac:dyDescent="0.2">
      <c r="A16" s="302" t="s">
        <v>128</v>
      </c>
      <c r="B16" s="302"/>
    </row>
    <row r="17" spans="1:1" x14ac:dyDescent="0.2">
      <c r="A17" s="47"/>
    </row>
  </sheetData>
  <mergeCells count="1">
    <mergeCell ref="A16:B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93E33-0F53-184A-8B10-F287091E19AF}">
  <sheetPr codeName="Sheet2"/>
  <dimension ref="A1"/>
  <sheetViews>
    <sheetView workbookViewId="0"/>
  </sheetViews>
  <sheetFormatPr defaultColWidth="11.42578125"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14"/>
  <sheetViews>
    <sheetView tabSelected="1" topLeftCell="A172" zoomScale="151" zoomScaleNormal="151" zoomScalePageLayoutView="130" workbookViewId="0">
      <selection activeCell="B178" sqref="B178"/>
    </sheetView>
  </sheetViews>
  <sheetFormatPr defaultColWidth="8.85546875" defaultRowHeight="12.75" x14ac:dyDescent="0.2"/>
  <cols>
    <col min="1" max="1" width="75.28515625" bestFit="1" customWidth="1"/>
    <col min="2" max="2" width="15.7109375" style="3" customWidth="1"/>
    <col min="3" max="3" width="21.42578125" bestFit="1" customWidth="1"/>
    <col min="4" max="4" width="60.7109375" style="7" customWidth="1"/>
  </cols>
  <sheetData>
    <row r="1" spans="1:4" ht="15.95" customHeight="1" x14ac:dyDescent="0.25">
      <c r="A1" s="58" t="s">
        <v>73</v>
      </c>
      <c r="B1" s="59"/>
      <c r="C1" s="60"/>
      <c r="D1" s="61"/>
    </row>
    <row r="2" spans="1:4" ht="15.95" customHeight="1" thickBot="1" x14ac:dyDescent="0.3">
      <c r="A2" s="62" t="s">
        <v>293</v>
      </c>
      <c r="B2" s="63"/>
      <c r="C2" s="64"/>
      <c r="D2" s="65"/>
    </row>
    <row r="3" spans="1:4" ht="12.75" customHeight="1" thickBot="1" x14ac:dyDescent="0.25"/>
    <row r="4" spans="1:4" ht="12.75" customHeight="1" thickBot="1" x14ac:dyDescent="0.25">
      <c r="A4" s="261" t="s">
        <v>246</v>
      </c>
      <c r="B4" s="56"/>
      <c r="C4" s="56"/>
    </row>
    <row r="5" spans="1:4" ht="12.75" hidden="1" customHeight="1" x14ac:dyDescent="0.2"/>
    <row r="6" spans="1:4" ht="13.5" thickBot="1" x14ac:dyDescent="0.25"/>
    <row r="7" spans="1:4" ht="15.95" customHeight="1" thickBot="1" x14ac:dyDescent="0.25">
      <c r="A7" s="12" t="s">
        <v>46</v>
      </c>
      <c r="B7" s="13" t="s">
        <v>10</v>
      </c>
      <c r="C7" s="13" t="s">
        <v>11</v>
      </c>
      <c r="D7" s="14" t="s">
        <v>9</v>
      </c>
    </row>
    <row r="8" spans="1:4" ht="15.95" customHeight="1" thickBot="1" x14ac:dyDescent="0.25">
      <c r="A8" s="304" t="s">
        <v>1</v>
      </c>
      <c r="B8" s="305"/>
      <c r="C8" s="305"/>
      <c r="D8" s="319"/>
    </row>
    <row r="9" spans="1:4" ht="12.75" customHeight="1" x14ac:dyDescent="0.2">
      <c r="A9" s="187" t="s">
        <v>195</v>
      </c>
      <c r="B9" s="66">
        <v>1800</v>
      </c>
      <c r="C9" s="27" t="s">
        <v>23</v>
      </c>
      <c r="D9" s="100" t="s">
        <v>70</v>
      </c>
    </row>
    <row r="10" spans="1:4" ht="12.75" customHeight="1" x14ac:dyDescent="0.2">
      <c r="A10" s="16" t="s">
        <v>30</v>
      </c>
      <c r="B10" s="67">
        <v>200</v>
      </c>
      <c r="C10" s="9" t="s">
        <v>31</v>
      </c>
      <c r="D10" s="100" t="s">
        <v>34</v>
      </c>
    </row>
    <row r="11" spans="1:4" ht="12.75" hidden="1" customHeight="1" thickBot="1" x14ac:dyDescent="0.25">
      <c r="A11" s="105" t="s">
        <v>71</v>
      </c>
      <c r="B11" s="106"/>
      <c r="C11" s="107" t="s">
        <v>32</v>
      </c>
      <c r="D11" s="259" t="s">
        <v>33</v>
      </c>
    </row>
    <row r="12" spans="1:4" ht="12.75" customHeight="1" x14ac:dyDescent="0.2">
      <c r="A12" s="192" t="s">
        <v>196</v>
      </c>
      <c r="B12" s="106"/>
      <c r="C12" s="27" t="s">
        <v>23</v>
      </c>
      <c r="D12" s="259"/>
    </row>
    <row r="13" spans="1:4" ht="12.75" customHeight="1" x14ac:dyDescent="0.2">
      <c r="A13" s="192" t="s">
        <v>245</v>
      </c>
      <c r="B13" s="67">
        <f>B9-B12</f>
        <v>1800</v>
      </c>
      <c r="C13" s="27" t="s">
        <v>199</v>
      </c>
      <c r="D13" s="259"/>
    </row>
    <row r="14" spans="1:4" ht="12.75" customHeight="1" x14ac:dyDescent="0.2">
      <c r="A14" s="192" t="s">
        <v>197</v>
      </c>
      <c r="B14" s="106"/>
      <c r="C14" s="9" t="s">
        <v>31</v>
      </c>
      <c r="D14" s="259"/>
    </row>
    <row r="15" spans="1:4" ht="12.75" customHeight="1" x14ac:dyDescent="0.2">
      <c r="A15" s="192" t="s">
        <v>198</v>
      </c>
      <c r="B15" s="258">
        <f>B10-B14</f>
        <v>200</v>
      </c>
      <c r="C15" s="9" t="s">
        <v>31</v>
      </c>
      <c r="D15" s="259"/>
    </row>
    <row r="16" spans="1:4" ht="12.75" customHeight="1" x14ac:dyDescent="0.2">
      <c r="A16" s="185" t="s">
        <v>170</v>
      </c>
      <c r="B16" s="106"/>
      <c r="C16" s="9" t="s">
        <v>23</v>
      </c>
      <c r="D16" s="260"/>
    </row>
    <row r="17" spans="1:8" ht="12.75" customHeight="1" x14ac:dyDescent="0.2">
      <c r="A17" s="186" t="s">
        <v>171</v>
      </c>
      <c r="B17" s="106"/>
      <c r="C17" s="9" t="s">
        <v>172</v>
      </c>
      <c r="D17" s="127"/>
    </row>
    <row r="18" spans="1:8" ht="73.5" customHeight="1" x14ac:dyDescent="0.2">
      <c r="A18" s="108" t="s">
        <v>118</v>
      </c>
      <c r="B18" s="109">
        <v>5</v>
      </c>
      <c r="C18" s="110" t="s">
        <v>117</v>
      </c>
      <c r="D18" s="127" t="s">
        <v>126</v>
      </c>
    </row>
    <row r="19" spans="1:8" ht="15.95" customHeight="1" thickBot="1" x14ac:dyDescent="0.25">
      <c r="A19" s="320" t="s">
        <v>20</v>
      </c>
      <c r="B19" s="321"/>
      <c r="C19" s="321"/>
      <c r="D19" s="322"/>
      <c r="F19" s="279">
        <f>1*kbps</f>
        <v>8.0000000000000002E-3</v>
      </c>
    </row>
    <row r="20" spans="1:8" ht="12.75" customHeight="1" x14ac:dyDescent="0.2">
      <c r="A20" s="28" t="s">
        <v>53</v>
      </c>
      <c r="B20" s="219">
        <v>60000</v>
      </c>
      <c r="C20" s="37" t="s">
        <v>54</v>
      </c>
      <c r="D20" s="38" t="s">
        <v>67</v>
      </c>
    </row>
    <row r="21" spans="1:8" ht="12.75" customHeight="1" x14ac:dyDescent="0.2">
      <c r="A21" s="28" t="s">
        <v>55</v>
      </c>
      <c r="B21" s="68">
        <v>30</v>
      </c>
      <c r="C21" s="37" t="s">
        <v>24</v>
      </c>
      <c r="D21" s="38"/>
    </row>
    <row r="22" spans="1:8" ht="12.75" customHeight="1" x14ac:dyDescent="0.2">
      <c r="A22" s="28" t="s">
        <v>43</v>
      </c>
      <c r="B22" s="36">
        <f>IF(B20&gt;0,(3600*B9)/B20,0)</f>
        <v>108</v>
      </c>
      <c r="C22" s="27" t="s">
        <v>24</v>
      </c>
      <c r="D22" s="29"/>
    </row>
    <row r="23" spans="1:8" ht="12.75" customHeight="1" thickBot="1" x14ac:dyDescent="0.25">
      <c r="A23" s="17" t="s">
        <v>56</v>
      </c>
      <c r="B23" s="45">
        <f>IF((B21+B22)&gt;0,B9/(B21+B22),0)</f>
        <v>13.043478260869565</v>
      </c>
      <c r="C23" s="10" t="s">
        <v>44</v>
      </c>
      <c r="D23" s="34" t="s">
        <v>51</v>
      </c>
      <c r="F23">
        <v>120</v>
      </c>
    </row>
    <row r="24" spans="1:8" ht="15.95" customHeight="1" thickBot="1" x14ac:dyDescent="0.25">
      <c r="A24" s="320" t="s">
        <v>173</v>
      </c>
      <c r="B24" s="321"/>
      <c r="C24" s="321"/>
      <c r="D24" s="322"/>
      <c r="F24">
        <f>54000/3600</f>
        <v>15</v>
      </c>
    </row>
    <row r="25" spans="1:8" ht="12.75" customHeight="1" x14ac:dyDescent="0.2">
      <c r="A25" s="194" t="s">
        <v>174</v>
      </c>
      <c r="B25" s="68"/>
      <c r="C25" s="188" t="s">
        <v>175</v>
      </c>
      <c r="D25" s="189" t="s">
        <v>176</v>
      </c>
    </row>
    <row r="26" spans="1:8" ht="12.75" customHeight="1" x14ac:dyDescent="0.2">
      <c r="A26" s="194" t="s">
        <v>177</v>
      </c>
      <c r="B26" s="68">
        <v>0</v>
      </c>
      <c r="C26" s="37" t="s">
        <v>24</v>
      </c>
      <c r="D26" s="38"/>
    </row>
    <row r="27" spans="1:8" ht="12.75" customHeight="1" x14ac:dyDescent="0.2">
      <c r="A27" s="194" t="s">
        <v>178</v>
      </c>
      <c r="B27" s="36">
        <v>1800</v>
      </c>
      <c r="C27" s="27" t="s">
        <v>24</v>
      </c>
      <c r="D27" s="29"/>
    </row>
    <row r="28" spans="1:8" ht="12.75" customHeight="1" thickBot="1" x14ac:dyDescent="0.25">
      <c r="A28" s="195" t="s">
        <v>179</v>
      </c>
      <c r="B28" s="45">
        <f>IF((B26+B27)&gt;0,B18/(B26+B27),0)</f>
        <v>2.7777777777777779E-3</v>
      </c>
      <c r="C28" s="10" t="s">
        <v>44</v>
      </c>
      <c r="D28" s="34" t="s">
        <v>180</v>
      </c>
    </row>
    <row r="29" spans="1:8" ht="15.95" customHeight="1" thickBot="1" x14ac:dyDescent="0.25">
      <c r="A29" s="304" t="s">
        <v>39</v>
      </c>
      <c r="B29" s="305"/>
      <c r="C29" s="305"/>
      <c r="D29" s="306"/>
      <c r="G29" s="74"/>
      <c r="H29" s="74"/>
    </row>
    <row r="30" spans="1:8" ht="12.75" customHeight="1" x14ac:dyDescent="0.2">
      <c r="A30" s="26" t="s">
        <v>2</v>
      </c>
      <c r="B30" s="221">
        <v>0.3</v>
      </c>
      <c r="C30" s="27" t="s">
        <v>35</v>
      </c>
      <c r="D30" s="303" t="s">
        <v>36</v>
      </c>
      <c r="G30" s="74"/>
      <c r="H30" s="74"/>
    </row>
    <row r="31" spans="1:8" ht="12.75" customHeight="1" x14ac:dyDescent="0.2">
      <c r="A31" s="19" t="s">
        <v>3</v>
      </c>
      <c r="B31" s="222">
        <v>0.3</v>
      </c>
      <c r="C31" s="9" t="s">
        <v>35</v>
      </c>
      <c r="D31" s="303"/>
      <c r="G31" s="74"/>
      <c r="H31" s="74"/>
    </row>
    <row r="32" spans="1:8" ht="12.75" hidden="1" customHeight="1" x14ac:dyDescent="0.2">
      <c r="A32" s="81" t="s">
        <v>72</v>
      </c>
      <c r="B32" s="223">
        <v>0</v>
      </c>
      <c r="C32" s="82" t="s">
        <v>35</v>
      </c>
      <c r="D32" s="323" t="s">
        <v>37</v>
      </c>
      <c r="G32" s="74"/>
      <c r="H32" s="74"/>
    </row>
    <row r="33" spans="1:8" ht="12.75" customHeight="1" x14ac:dyDescent="0.2">
      <c r="A33" s="19" t="s">
        <v>4</v>
      </c>
      <c r="B33" s="222">
        <v>0.1</v>
      </c>
      <c r="C33" s="35" t="s">
        <v>35</v>
      </c>
      <c r="D33" s="324"/>
      <c r="G33" s="74"/>
      <c r="H33" s="74"/>
    </row>
    <row r="34" spans="1:8" ht="12.75" customHeight="1" x14ac:dyDescent="0.2">
      <c r="A34" s="16" t="s">
        <v>145</v>
      </c>
      <c r="B34" s="222">
        <v>0.2</v>
      </c>
      <c r="C34" s="35" t="s">
        <v>35</v>
      </c>
      <c r="D34" s="129"/>
      <c r="G34" s="74"/>
      <c r="H34" s="74"/>
    </row>
    <row r="35" spans="1:8" ht="12.75" customHeight="1" x14ac:dyDescent="0.2">
      <c r="A35" s="19" t="s">
        <v>5</v>
      </c>
      <c r="B35" s="222">
        <v>0.1</v>
      </c>
      <c r="C35" s="9" t="s">
        <v>35</v>
      </c>
      <c r="D35" s="29" t="s">
        <v>38</v>
      </c>
      <c r="G35" s="74"/>
      <c r="H35" s="74"/>
    </row>
    <row r="36" spans="1:8" ht="12.75" customHeight="1" x14ac:dyDescent="0.2">
      <c r="A36" s="101" t="s">
        <v>6</v>
      </c>
      <c r="B36" s="224">
        <v>0.99999999999999989</v>
      </c>
      <c r="C36" s="9" t="s">
        <v>35</v>
      </c>
      <c r="D36" s="100" t="s">
        <v>40</v>
      </c>
      <c r="G36" s="74"/>
      <c r="H36" s="74"/>
    </row>
    <row r="37" spans="1:8" ht="12.75" customHeight="1" x14ac:dyDescent="0.2">
      <c r="A37" s="28" t="s">
        <v>110</v>
      </c>
      <c r="B37" s="221">
        <v>0.1</v>
      </c>
      <c r="C37" s="27" t="s">
        <v>35</v>
      </c>
      <c r="D37" s="29"/>
      <c r="G37" s="74"/>
      <c r="H37" s="74"/>
    </row>
    <row r="38" spans="1:8" ht="12.75" customHeight="1" x14ac:dyDescent="0.2">
      <c r="A38" s="28" t="s">
        <v>143</v>
      </c>
      <c r="B38" s="221">
        <v>0.05</v>
      </c>
      <c r="C38" s="27" t="s">
        <v>35</v>
      </c>
      <c r="D38" s="140" t="s">
        <v>147</v>
      </c>
      <c r="G38" s="74"/>
      <c r="H38" s="74"/>
    </row>
    <row r="39" spans="1:8" ht="12.75" customHeight="1" thickBot="1" x14ac:dyDescent="0.25">
      <c r="A39" s="28" t="s">
        <v>144</v>
      </c>
      <c r="B39" s="221">
        <v>0.05</v>
      </c>
      <c r="C39" s="27" t="s">
        <v>35</v>
      </c>
      <c r="D39" s="140" t="s">
        <v>148</v>
      </c>
      <c r="G39" s="74"/>
      <c r="H39" s="74"/>
    </row>
    <row r="40" spans="1:8" ht="17.100000000000001" customHeight="1" thickBot="1" x14ac:dyDescent="0.25">
      <c r="A40" s="304" t="s">
        <v>181</v>
      </c>
      <c r="B40" s="305"/>
      <c r="C40" s="305"/>
      <c r="D40" s="306"/>
      <c r="G40" s="74"/>
      <c r="H40" s="74"/>
    </row>
    <row r="41" spans="1:8" ht="12.75" customHeight="1" x14ac:dyDescent="0.2">
      <c r="A41" s="196" t="s">
        <v>182</v>
      </c>
      <c r="B41" s="69">
        <v>0.2</v>
      </c>
      <c r="C41" s="27" t="s">
        <v>35</v>
      </c>
      <c r="D41" s="303" t="s">
        <v>184</v>
      </c>
      <c r="G41" s="74"/>
      <c r="H41" s="74"/>
    </row>
    <row r="42" spans="1:8" ht="12.75" customHeight="1" x14ac:dyDescent="0.2">
      <c r="A42" s="197" t="s">
        <v>183</v>
      </c>
      <c r="B42" s="70">
        <v>0.28999999999999998</v>
      </c>
      <c r="C42" s="9" t="s">
        <v>35</v>
      </c>
      <c r="D42" s="303"/>
      <c r="G42" s="74"/>
      <c r="H42" s="74"/>
    </row>
    <row r="43" spans="1:8" ht="12.75" customHeight="1" x14ac:dyDescent="0.2">
      <c r="A43" s="197" t="s">
        <v>204</v>
      </c>
      <c r="B43" s="70">
        <v>0.2</v>
      </c>
      <c r="C43" s="35"/>
      <c r="D43" s="193"/>
      <c r="G43" s="74"/>
      <c r="H43" s="74"/>
    </row>
    <row r="44" spans="1:8" ht="12.75" customHeight="1" x14ac:dyDescent="0.2">
      <c r="A44" s="197" t="s">
        <v>186</v>
      </c>
      <c r="B44" s="222">
        <v>0.31</v>
      </c>
      <c r="C44" s="190" t="s">
        <v>35</v>
      </c>
      <c r="D44" s="177"/>
      <c r="G44" s="74"/>
      <c r="H44" s="74"/>
    </row>
    <row r="45" spans="1:8" ht="12.75" customHeight="1" thickBot="1" x14ac:dyDescent="0.25">
      <c r="A45" s="101" t="s">
        <v>6</v>
      </c>
      <c r="B45" s="99">
        <f>SUM(B41:B44)</f>
        <v>1</v>
      </c>
      <c r="C45" s="9" t="s">
        <v>35</v>
      </c>
      <c r="D45" s="100" t="s">
        <v>185</v>
      </c>
      <c r="G45" s="74"/>
      <c r="H45" s="74"/>
    </row>
    <row r="46" spans="1:8" ht="15.95" customHeight="1" thickBot="1" x14ac:dyDescent="0.25">
      <c r="A46" s="304" t="s">
        <v>74</v>
      </c>
      <c r="B46" s="305"/>
      <c r="C46" s="305"/>
      <c r="D46" s="306"/>
      <c r="G46" s="74"/>
      <c r="H46" s="74"/>
    </row>
    <row r="47" spans="1:8" ht="12.75" hidden="1" customHeight="1" x14ac:dyDescent="0.2">
      <c r="A47" s="93" t="s">
        <v>84</v>
      </c>
      <c r="B47" s="94">
        <v>5</v>
      </c>
      <c r="C47" s="95" t="s">
        <v>8</v>
      </c>
      <c r="D47" s="96" t="s">
        <v>49</v>
      </c>
      <c r="G47" s="74"/>
      <c r="H47" s="74"/>
    </row>
    <row r="48" spans="1:8" ht="12.75" customHeight="1" thickBot="1" x14ac:dyDescent="0.25">
      <c r="A48" s="24" t="s">
        <v>68</v>
      </c>
      <c r="B48" s="220">
        <v>1</v>
      </c>
      <c r="C48" s="25" t="s">
        <v>8</v>
      </c>
      <c r="D48" s="97" t="s">
        <v>115</v>
      </c>
      <c r="G48" s="74"/>
      <c r="H48" s="74"/>
    </row>
    <row r="49" spans="1:8" ht="12.75" hidden="1" customHeight="1" x14ac:dyDescent="0.2">
      <c r="A49" s="310" t="s">
        <v>79</v>
      </c>
      <c r="B49" s="311"/>
      <c r="C49" s="311"/>
      <c r="D49" s="312"/>
      <c r="G49" s="74"/>
      <c r="H49" s="74"/>
    </row>
    <row r="50" spans="1:8" ht="12.75" hidden="1" customHeight="1" x14ac:dyDescent="0.2">
      <c r="A50" s="83" t="s">
        <v>75</v>
      </c>
      <c r="B50" s="84">
        <v>17</v>
      </c>
      <c r="C50" s="85" t="s">
        <v>25</v>
      </c>
      <c r="D50" s="86" t="s">
        <v>66</v>
      </c>
      <c r="G50" s="74"/>
      <c r="H50" s="74"/>
    </row>
    <row r="51" spans="1:8" ht="12.75" hidden="1" customHeight="1" x14ac:dyDescent="0.2">
      <c r="A51" s="83" t="s">
        <v>76</v>
      </c>
      <c r="B51" s="84">
        <v>10</v>
      </c>
      <c r="C51" s="85" t="s">
        <v>24</v>
      </c>
      <c r="D51" s="87" t="s">
        <v>41</v>
      </c>
      <c r="G51" s="74"/>
      <c r="H51" s="74"/>
    </row>
    <row r="52" spans="1:8" ht="12.75" hidden="1" customHeight="1" x14ac:dyDescent="0.2">
      <c r="A52" s="313" t="s">
        <v>80</v>
      </c>
      <c r="B52" s="314"/>
      <c r="C52" s="314"/>
      <c r="D52" s="315"/>
      <c r="G52" s="74"/>
      <c r="H52" s="74"/>
    </row>
    <row r="53" spans="1:8" ht="12.75" hidden="1" customHeight="1" x14ac:dyDescent="0.2">
      <c r="A53" s="83" t="s">
        <v>77</v>
      </c>
      <c r="B53" s="84">
        <v>6</v>
      </c>
      <c r="C53" s="85" t="s">
        <v>25</v>
      </c>
      <c r="D53" s="86" t="s">
        <v>29</v>
      </c>
      <c r="G53" s="74"/>
      <c r="H53" s="74"/>
    </row>
    <row r="54" spans="1:8" ht="12.75" hidden="1" customHeight="1" x14ac:dyDescent="0.2">
      <c r="A54" s="83" t="s">
        <v>78</v>
      </c>
      <c r="B54" s="84" t="e">
        <f>Average_Call_Duration_v801</f>
        <v>#NAME?</v>
      </c>
      <c r="C54" s="85" t="s">
        <v>24</v>
      </c>
      <c r="D54" s="86" t="s">
        <v>45</v>
      </c>
      <c r="G54" s="74"/>
      <c r="H54" s="74"/>
    </row>
    <row r="55" spans="1:8" ht="12.75" customHeight="1" thickBot="1" x14ac:dyDescent="0.25">
      <c r="A55" s="24" t="s">
        <v>149</v>
      </c>
      <c r="B55" s="71">
        <v>3000</v>
      </c>
      <c r="C55" s="25" t="s">
        <v>8</v>
      </c>
      <c r="D55" s="97"/>
      <c r="G55" s="74"/>
      <c r="H55" s="74"/>
    </row>
    <row r="56" spans="1:8" ht="12.75" customHeight="1" x14ac:dyDescent="0.2">
      <c r="A56" s="293" t="s">
        <v>301</v>
      </c>
      <c r="B56" s="111">
        <v>1</v>
      </c>
      <c r="C56" s="294"/>
      <c r="D56" s="295"/>
      <c r="G56" s="74"/>
      <c r="H56" s="74"/>
    </row>
    <row r="57" spans="1:8" ht="12.75" customHeight="1" x14ac:dyDescent="0.2">
      <c r="A57" s="316" t="s">
        <v>21</v>
      </c>
      <c r="B57" s="317"/>
      <c r="C57" s="317"/>
      <c r="D57" s="318"/>
      <c r="G57" s="74"/>
      <c r="H57" s="74"/>
    </row>
    <row r="58" spans="1:8" ht="12.75" customHeight="1" x14ac:dyDescent="0.2">
      <c r="A58" s="22" t="s">
        <v>19</v>
      </c>
      <c r="B58" s="67">
        <v>1</v>
      </c>
      <c r="C58" s="20" t="s">
        <v>12</v>
      </c>
      <c r="D58" s="15" t="s">
        <v>47</v>
      </c>
      <c r="G58" s="74"/>
      <c r="H58" s="74"/>
    </row>
    <row r="59" spans="1:8" ht="12.75" customHeight="1" x14ac:dyDescent="0.2">
      <c r="A59" s="22" t="s">
        <v>48</v>
      </c>
      <c r="B59" s="67">
        <v>640</v>
      </c>
      <c r="C59" s="20" t="s">
        <v>13</v>
      </c>
      <c r="D59" s="15" t="s">
        <v>50</v>
      </c>
      <c r="G59" s="74"/>
      <c r="H59" s="74"/>
    </row>
    <row r="60" spans="1:8" ht="12.75" customHeight="1" x14ac:dyDescent="0.2">
      <c r="A60" s="22" t="s">
        <v>57</v>
      </c>
      <c r="B60" s="67">
        <v>1970</v>
      </c>
      <c r="C60" s="20" t="s">
        <v>13</v>
      </c>
      <c r="D60" s="15" t="s">
        <v>52</v>
      </c>
      <c r="G60" s="74"/>
      <c r="H60" s="74"/>
    </row>
    <row r="61" spans="1:8" ht="12.75" customHeight="1" x14ac:dyDescent="0.2">
      <c r="A61" s="316" t="s">
        <v>22</v>
      </c>
      <c r="B61" s="317"/>
      <c r="C61" s="317"/>
      <c r="D61" s="318"/>
      <c r="G61" s="74"/>
      <c r="H61" s="74"/>
    </row>
    <row r="62" spans="1:8" ht="12.75" customHeight="1" thickBot="1" x14ac:dyDescent="0.25">
      <c r="A62" s="138" t="s">
        <v>142</v>
      </c>
      <c r="B62" s="57">
        <v>2</v>
      </c>
      <c r="C62" s="20" t="s">
        <v>12</v>
      </c>
      <c r="D62" s="139" t="s">
        <v>141</v>
      </c>
      <c r="G62" s="74"/>
      <c r="H62" s="74"/>
    </row>
    <row r="63" spans="1:8" ht="12.75" customHeight="1" thickBot="1" x14ac:dyDescent="0.25">
      <c r="A63" s="23" t="s">
        <v>58</v>
      </c>
      <c r="B63" s="57">
        <v>100</v>
      </c>
      <c r="C63" s="21" t="s">
        <v>13</v>
      </c>
      <c r="D63" s="11" t="s">
        <v>69</v>
      </c>
      <c r="G63" s="74"/>
      <c r="H63" s="74"/>
    </row>
    <row r="64" spans="1:8" ht="30" customHeight="1" x14ac:dyDescent="0.2">
      <c r="A64" s="91" t="s">
        <v>309</v>
      </c>
      <c r="B64" s="301">
        <v>30</v>
      </c>
      <c r="C64" s="20" t="s">
        <v>23</v>
      </c>
      <c r="D64" s="92" t="s">
        <v>313</v>
      </c>
      <c r="G64" s="74"/>
      <c r="H64" s="74"/>
    </row>
    <row r="65" spans="1:8" ht="30" customHeight="1" thickBot="1" x14ac:dyDescent="0.25">
      <c r="A65" s="91" t="s">
        <v>310</v>
      </c>
      <c r="B65" s="301">
        <v>2</v>
      </c>
      <c r="C65" s="20" t="s">
        <v>311</v>
      </c>
      <c r="D65" s="92" t="s">
        <v>312</v>
      </c>
      <c r="G65" s="74"/>
      <c r="H65" s="74"/>
    </row>
    <row r="66" spans="1:8" ht="15.95" customHeight="1" thickBot="1" x14ac:dyDescent="0.25">
      <c r="A66" s="304" t="s">
        <v>282</v>
      </c>
      <c r="B66" s="305"/>
      <c r="C66" s="305"/>
      <c r="D66" s="306"/>
      <c r="G66" s="74"/>
      <c r="H66" s="74"/>
    </row>
    <row r="67" spans="1:8" ht="12.75" hidden="1" customHeight="1" x14ac:dyDescent="0.2">
      <c r="A67" s="93" t="s">
        <v>84</v>
      </c>
      <c r="B67" s="94">
        <v>5</v>
      </c>
      <c r="C67" s="95" t="s">
        <v>8</v>
      </c>
      <c r="D67" s="96" t="s">
        <v>49</v>
      </c>
      <c r="G67" s="74"/>
      <c r="H67" s="74"/>
    </row>
    <row r="68" spans="1:8" ht="12.75" customHeight="1" thickBot="1" x14ac:dyDescent="0.25">
      <c r="A68" s="91" t="s">
        <v>277</v>
      </c>
      <c r="B68" s="57">
        <v>1800</v>
      </c>
      <c r="C68" s="20" t="s">
        <v>279</v>
      </c>
      <c r="D68" s="92" t="s">
        <v>281</v>
      </c>
      <c r="G68" s="74"/>
      <c r="H68" s="74"/>
    </row>
    <row r="69" spans="1:8" ht="12.75" customHeight="1" thickBot="1" x14ac:dyDescent="0.25">
      <c r="A69" s="91" t="s">
        <v>278</v>
      </c>
      <c r="B69" s="57">
        <v>1800</v>
      </c>
      <c r="C69" s="20" t="s">
        <v>279</v>
      </c>
      <c r="D69" s="92" t="s">
        <v>281</v>
      </c>
      <c r="G69" s="74"/>
      <c r="H69" s="74"/>
    </row>
    <row r="70" spans="1:8" ht="12.75" customHeight="1" thickBot="1" x14ac:dyDescent="0.25">
      <c r="A70" s="91" t="s">
        <v>280</v>
      </c>
      <c r="B70" s="287">
        <v>1</v>
      </c>
      <c r="C70" s="291" t="s">
        <v>35</v>
      </c>
      <c r="D70" s="92" t="s">
        <v>283</v>
      </c>
      <c r="G70" s="74"/>
      <c r="H70" s="74"/>
    </row>
    <row r="71" spans="1:8" ht="26.25" customHeight="1" x14ac:dyDescent="0.25">
      <c r="A71" s="102" t="s">
        <v>202</v>
      </c>
      <c r="B71" s="103"/>
      <c r="C71" s="102"/>
      <c r="D71" s="104"/>
      <c r="E71" s="74"/>
    </row>
    <row r="72" spans="1:8" ht="12.75" customHeight="1" x14ac:dyDescent="0.2">
      <c r="A72" s="191" t="s">
        <v>187</v>
      </c>
      <c r="B72" s="112">
        <f>(((Number_of_nonSSO_agents*'BW Data'!E5)+(Number_of_SSO_agents*'BW Data'!E9))/(Max_Login_Time_All_Agents*60))*kbps*Bandwidth_Confidence_Factor</f>
        <v>212715.11040000001</v>
      </c>
      <c r="C72" s="6" t="s">
        <v>7</v>
      </c>
      <c r="D72" s="79"/>
      <c r="E72" s="74"/>
      <c r="G72" s="74"/>
      <c r="H72" s="74"/>
    </row>
    <row r="73" spans="1:8" ht="12.75" customHeight="1" x14ac:dyDescent="0.2">
      <c r="A73" s="191" t="s">
        <v>188</v>
      </c>
      <c r="B73" s="112">
        <f>(((Number_of_nonSSO_agents*'BW Data'!E6)+(Number_of_SSO_agents*'BW Data'!E10))/(Max_Login_Time_All_Agents*60))*kbps*Bandwidth_Confidence_Factor</f>
        <v>11565.465600000001</v>
      </c>
      <c r="C73" s="6" t="s">
        <v>7</v>
      </c>
      <c r="D73" s="100"/>
      <c r="E73" s="74"/>
      <c r="G73" s="113"/>
      <c r="H73" s="74"/>
    </row>
    <row r="74" spans="1:8" ht="12.75" customHeight="1" x14ac:dyDescent="0.2">
      <c r="A74" s="191" t="s">
        <v>189</v>
      </c>
      <c r="B74" s="112">
        <f>(((Number_of_nonSSO_supervisors*'BW Data'!E7)+(Number_of_SSO_supervisors*'BW Data'!E11))/(Max_Login_Time_All_Agents*60))*kbps*Bandwidth_Confidence_Factor</f>
        <v>24557.977600000002</v>
      </c>
      <c r="C74" s="6" t="s">
        <v>7</v>
      </c>
      <c r="D74" s="100"/>
      <c r="E74" s="74"/>
      <c r="G74" s="113"/>
      <c r="H74" s="74"/>
    </row>
    <row r="75" spans="1:8" ht="12.75" customHeight="1" x14ac:dyDescent="0.2">
      <c r="A75" s="191" t="s">
        <v>190</v>
      </c>
      <c r="B75" s="112">
        <f>(((Number_of_nonSSO_supervisors*'BW Data'!E8)+(Number_of_SSO_supervisors*'BW Data'!E12))/(Max_Login_Time_All_Agents*60))*kbps*Bandwidth_Confidence_Factor</f>
        <v>1185.6554666666666</v>
      </c>
      <c r="C75" s="6" t="s">
        <v>7</v>
      </c>
      <c r="D75" s="100"/>
      <c r="E75" s="74"/>
      <c r="G75" s="74"/>
      <c r="H75" s="74"/>
    </row>
    <row r="76" spans="1:8" ht="12.75" customHeight="1" thickBot="1" x14ac:dyDescent="0.25">
      <c r="A76" s="268" t="s">
        <v>269</v>
      </c>
      <c r="B76" s="57">
        <v>10</v>
      </c>
      <c r="C76" s="269"/>
      <c r="D76" s="270"/>
      <c r="E76" s="74"/>
      <c r="G76" s="74"/>
      <c r="H76" s="74"/>
    </row>
    <row r="77" spans="1:8" ht="12.75" customHeight="1" thickBot="1" x14ac:dyDescent="0.25">
      <c r="A77" s="268" t="s">
        <v>270</v>
      </c>
      <c r="B77" s="57">
        <v>10</v>
      </c>
      <c r="C77" s="269"/>
      <c r="D77" s="270"/>
      <c r="E77" s="74"/>
      <c r="G77" s="74"/>
      <c r="H77" s="74"/>
    </row>
    <row r="78" spans="1:8" ht="12.75" customHeight="1" thickBot="1" x14ac:dyDescent="0.25">
      <c r="A78" s="268" t="s">
        <v>271</v>
      </c>
      <c r="B78" s="57">
        <v>10</v>
      </c>
      <c r="C78" s="269"/>
      <c r="D78" s="270"/>
      <c r="E78" s="74"/>
      <c r="G78" s="74"/>
      <c r="H78" s="74"/>
    </row>
    <row r="79" spans="1:8" ht="12.75" customHeight="1" thickBot="1" x14ac:dyDescent="0.25">
      <c r="A79" s="268" t="s">
        <v>272</v>
      </c>
      <c r="B79" s="57">
        <v>20</v>
      </c>
      <c r="C79" s="269"/>
      <c r="D79" s="270"/>
      <c r="E79" s="74"/>
      <c r="G79" s="74"/>
      <c r="H79" s="74"/>
    </row>
    <row r="80" spans="1:8" ht="12.75" customHeight="1" thickBot="1" x14ac:dyDescent="0.25">
      <c r="A80" s="268" t="s">
        <v>273</v>
      </c>
      <c r="B80" s="57">
        <v>2</v>
      </c>
      <c r="C80" s="269"/>
      <c r="D80" s="270" t="s">
        <v>274</v>
      </c>
      <c r="E80" s="74"/>
      <c r="G80" s="74"/>
      <c r="H80" s="74"/>
    </row>
    <row r="81" spans="1:8" ht="13.5" thickBot="1" x14ac:dyDescent="0.25">
      <c r="A81" s="23" t="s">
        <v>263</v>
      </c>
      <c r="B81" s="57">
        <v>500</v>
      </c>
      <c r="C81" s="21" t="s">
        <v>257</v>
      </c>
      <c r="D81" s="11"/>
      <c r="G81" s="74"/>
      <c r="H81" s="74"/>
    </row>
    <row r="82" spans="1:8" ht="26.25" thickBot="1" x14ac:dyDescent="0.25">
      <c r="A82" s="23" t="s">
        <v>267</v>
      </c>
      <c r="B82" s="57">
        <v>10</v>
      </c>
      <c r="C82" s="21" t="s">
        <v>258</v>
      </c>
      <c r="D82" s="11" t="s">
        <v>264</v>
      </c>
      <c r="G82" s="74"/>
      <c r="H82" s="74"/>
    </row>
    <row r="83" spans="1:8" ht="26.25" thickBot="1" x14ac:dyDescent="0.25">
      <c r="A83" s="23" t="s">
        <v>268</v>
      </c>
      <c r="B83" s="57">
        <v>10</v>
      </c>
      <c r="C83" s="21" t="s">
        <v>258</v>
      </c>
      <c r="D83" s="11" t="s">
        <v>264</v>
      </c>
      <c r="G83" s="74"/>
      <c r="H83" s="74"/>
    </row>
    <row r="84" spans="1:8" ht="39" thickBot="1" x14ac:dyDescent="0.25">
      <c r="A84" s="23" t="s">
        <v>259</v>
      </c>
      <c r="B84" s="57">
        <v>10</v>
      </c>
      <c r="C84" s="21" t="s">
        <v>260</v>
      </c>
      <c r="D84" s="11" t="s">
        <v>266</v>
      </c>
      <c r="G84" s="74"/>
      <c r="H84" s="74"/>
    </row>
    <row r="85" spans="1:8" ht="26.25" thickBot="1" x14ac:dyDescent="0.25">
      <c r="A85" s="23" t="s">
        <v>261</v>
      </c>
      <c r="B85" s="57">
        <v>2</v>
      </c>
      <c r="C85" s="21" t="s">
        <v>262</v>
      </c>
      <c r="D85" s="11" t="s">
        <v>265</v>
      </c>
      <c r="G85" s="74"/>
      <c r="H85" s="74"/>
    </row>
    <row r="86" spans="1:8" ht="13.5" thickBot="1" x14ac:dyDescent="0.25">
      <c r="A86" s="289" t="s">
        <v>289</v>
      </c>
      <c r="B86" s="112">
        <f>((Number_of_Agents_Answers_Enabled*'BW Data'!E21)/(Max_Login_Time_All_Agents*60)) *kbps * Bandwidth_Confidence_Factor</f>
        <v>19436.352000000003</v>
      </c>
      <c r="C86" s="6" t="s">
        <v>7</v>
      </c>
      <c r="D86" s="284"/>
      <c r="G86" s="74"/>
      <c r="H86" s="74"/>
    </row>
    <row r="87" spans="1:8" s="273" customFormat="1" ht="13.5" thickBot="1" x14ac:dyDescent="0.25">
      <c r="A87" s="289" t="s">
        <v>290</v>
      </c>
      <c r="B87" s="112">
        <f>((Number_of_Agents_Transcripts_Enabled*'BW Data'!E21)/(Max_Login_Time_All_Agents*60)) *kbps * Bandwidth_Confidence_Factor</f>
        <v>19436.352000000003</v>
      </c>
      <c r="C87" s="6" t="s">
        <v>7</v>
      </c>
      <c r="D87" s="272"/>
      <c r="G87" s="274"/>
      <c r="H87" s="274"/>
    </row>
    <row r="88" spans="1:8" s="18" customFormat="1" ht="15.95" customHeight="1" thickBot="1" x14ac:dyDescent="0.3">
      <c r="A88" s="49" t="s">
        <v>191</v>
      </c>
      <c r="B88" s="114">
        <f>( B86+B87+B72+B74 + (B9 * (   B81  * (B80 * (B76 + B77+ B78+ B79) + 180)  +   (B82  + B83) * 250 + B84 * 150 + B85 * 1600 ) * 8 / (B18 * 60 * 1024)) )</f>
        <v>283162.97950000002</v>
      </c>
      <c r="C88" s="51" t="s">
        <v>7</v>
      </c>
      <c r="D88" s="52"/>
      <c r="E88" s="74"/>
      <c r="G88" s="75"/>
      <c r="H88" s="75"/>
    </row>
    <row r="89" spans="1:8" s="18" customFormat="1" ht="15.95" customHeight="1" thickBot="1" x14ac:dyDescent="0.3">
      <c r="A89" s="49" t="s">
        <v>192</v>
      </c>
      <c r="B89" s="114">
        <f>(B86+ B87 + B73+B75 + (B9 * (   B81 * (B80*  (B76 + B77+ B78+ B79) + 180)   +   (B82  + B83) * 250 + B84 * 150 + B85 * 1600 ) * 8 / (B18 * 60 * 1024)))</f>
        <v>58641.012566666672</v>
      </c>
      <c r="C89" s="51" t="s">
        <v>7</v>
      </c>
      <c r="D89" s="52"/>
      <c r="E89" s="74"/>
      <c r="G89" s="75"/>
      <c r="H89" s="75"/>
    </row>
    <row r="90" spans="1:8" s="273" customFormat="1" ht="26.25" customHeight="1" x14ac:dyDescent="0.25">
      <c r="A90" s="102" t="s">
        <v>275</v>
      </c>
      <c r="B90" s="276"/>
      <c r="C90" s="275"/>
      <c r="D90" s="277"/>
      <c r="E90" s="274"/>
    </row>
    <row r="91" spans="1:8" s="273" customFormat="1" ht="12.75" customHeight="1" thickBot="1" x14ac:dyDescent="0.25">
      <c r="A91" s="289" t="s">
        <v>289</v>
      </c>
      <c r="B91" s="112">
        <f>((Number_of_Agents_Answers_Enabled*'BW Data'!H21)/(Max_Login_Time_All_Agents*60)) *kbps * Bandwidth_Confidence_Factor</f>
        <v>33395.793600000005</v>
      </c>
      <c r="C91" s="11" t="s">
        <v>7</v>
      </c>
      <c r="D91" s="283" t="s">
        <v>288</v>
      </c>
      <c r="E91" s="274"/>
      <c r="G91" s="274"/>
      <c r="H91" s="274"/>
    </row>
    <row r="92" spans="1:8" s="273" customFormat="1" ht="12.75" customHeight="1" thickBot="1" x14ac:dyDescent="0.25">
      <c r="A92" s="289" t="s">
        <v>290</v>
      </c>
      <c r="B92" s="112">
        <f>((Number_of_Agents_Transcripts_Enabled*'BW Data'!H21)/(Max_Login_Time_All_Agents*60)) *kbps * Bandwidth_Confidence_Factor</f>
        <v>33395.793600000005</v>
      </c>
      <c r="C92" s="11" t="s">
        <v>7</v>
      </c>
      <c r="D92" s="283" t="s">
        <v>288</v>
      </c>
      <c r="E92" s="274"/>
      <c r="G92" s="274"/>
      <c r="H92" s="274"/>
    </row>
    <row r="93" spans="1:8" s="18" customFormat="1" ht="15.95" customHeight="1" x14ac:dyDescent="0.25">
      <c r="A93" s="102" t="s">
        <v>203</v>
      </c>
      <c r="B93" s="103"/>
      <c r="C93" s="102"/>
      <c r="D93" s="104"/>
      <c r="E93" s="74"/>
      <c r="G93" s="75"/>
      <c r="H93" s="75"/>
    </row>
    <row r="94" spans="1:8" s="18" customFormat="1" ht="12" customHeight="1" x14ac:dyDescent="0.2">
      <c r="A94" s="198" t="s">
        <v>193</v>
      </c>
      <c r="B94" s="199">
        <f>((Number_of_mc_agents*'BW Data'!E13*Number_of_Non_Voice_MRDs)/(Max_Login_Time_All_Agents*60))*kbps*Bandwidth_Confidence_Factor</f>
        <v>0</v>
      </c>
      <c r="C94" s="200" t="s">
        <v>7</v>
      </c>
      <c r="D94" s="201"/>
      <c r="E94" s="74"/>
      <c r="G94" s="75"/>
      <c r="H94" s="75"/>
    </row>
    <row r="95" spans="1:8" s="18" customFormat="1" ht="14.1" customHeight="1" thickBot="1" x14ac:dyDescent="0.25">
      <c r="A95" s="198" t="s">
        <v>194</v>
      </c>
      <c r="B95" s="199">
        <f>((Number_of_nonSSO_agents*'BW Data'!E14*Number_of_Non_Voice_MRDs)/(Max_Login_Time_All_Agents*60))*kbps*Bandwidth_Confidence_Factor</f>
        <v>0</v>
      </c>
      <c r="C95" s="200" t="s">
        <v>7</v>
      </c>
      <c r="D95" s="202"/>
      <c r="E95" s="74"/>
      <c r="G95" s="75"/>
      <c r="H95" s="75"/>
    </row>
    <row r="96" spans="1:8" s="18" customFormat="1" ht="15.95" customHeight="1" thickBot="1" x14ac:dyDescent="0.3">
      <c r="A96" s="49" t="s">
        <v>200</v>
      </c>
      <c r="B96" s="114">
        <f>B94</f>
        <v>0</v>
      </c>
      <c r="C96" s="51" t="s">
        <v>7</v>
      </c>
      <c r="D96" s="52"/>
      <c r="E96" s="74"/>
      <c r="G96" s="75"/>
      <c r="H96" s="75"/>
    </row>
    <row r="97" spans="1:8" s="18" customFormat="1" ht="15.95" customHeight="1" thickBot="1" x14ac:dyDescent="0.3">
      <c r="A97" s="49" t="s">
        <v>201</v>
      </c>
      <c r="B97" s="114">
        <f>B95</f>
        <v>0</v>
      </c>
      <c r="C97" s="51" t="s">
        <v>7</v>
      </c>
      <c r="D97" s="52"/>
      <c r="E97" s="74"/>
      <c r="G97" s="75"/>
      <c r="H97" s="75"/>
    </row>
    <row r="98" spans="1:8" ht="12.75" customHeight="1" thickBot="1" x14ac:dyDescent="0.25">
      <c r="A98" s="2"/>
      <c r="C98" s="4"/>
      <c r="E98" s="74"/>
      <c r="G98" s="74"/>
      <c r="H98" s="74"/>
    </row>
    <row r="99" spans="1:8" ht="18.600000000000001" customHeight="1" thickBot="1" x14ac:dyDescent="0.3">
      <c r="A99" s="307" t="s">
        <v>240</v>
      </c>
      <c r="B99" s="308"/>
      <c r="C99" s="308"/>
      <c r="D99" s="309"/>
      <c r="E99" s="74"/>
      <c r="G99" s="74"/>
      <c r="H99" s="74"/>
    </row>
    <row r="100" spans="1:8" ht="12.75" customHeight="1" thickBot="1" x14ac:dyDescent="0.25">
      <c r="A100" s="240" t="s">
        <v>241</v>
      </c>
      <c r="B100" s="256">
        <v>400</v>
      </c>
      <c r="C100" s="255" t="s">
        <v>242</v>
      </c>
      <c r="D100" s="21"/>
      <c r="E100" s="74"/>
      <c r="G100" s="74"/>
      <c r="H100" s="74"/>
    </row>
    <row r="101" spans="1:8" ht="12.75" customHeight="1" thickBot="1" x14ac:dyDescent="0.25">
      <c r="A101" s="240" t="s">
        <v>243</v>
      </c>
      <c r="B101" s="257">
        <v>1024</v>
      </c>
      <c r="C101" s="255" t="s">
        <v>125</v>
      </c>
      <c r="D101" s="21"/>
      <c r="E101" s="74"/>
      <c r="G101" s="74"/>
      <c r="H101" s="74"/>
    </row>
    <row r="102" spans="1:8" ht="12.75" customHeight="1" x14ac:dyDescent="0.2">
      <c r="A102" s="2"/>
      <c r="C102" s="4"/>
      <c r="E102" s="74"/>
      <c r="G102" s="74"/>
      <c r="H102" s="74"/>
    </row>
    <row r="103" spans="1:8" ht="12.75" customHeight="1" x14ac:dyDescent="0.2">
      <c r="A103" s="2"/>
      <c r="C103" s="4"/>
      <c r="E103" s="74"/>
      <c r="G103" s="74"/>
      <c r="H103" s="74"/>
    </row>
    <row r="104" spans="1:8" ht="12.75" customHeight="1" x14ac:dyDescent="0.2">
      <c r="A104" s="2"/>
      <c r="C104" s="4"/>
      <c r="E104" s="74"/>
      <c r="G104" s="74"/>
      <c r="H104" s="74"/>
    </row>
    <row r="105" spans="1:8" ht="22.5" customHeight="1" thickBot="1" x14ac:dyDescent="0.3">
      <c r="A105" s="102" t="s">
        <v>135</v>
      </c>
      <c r="B105" s="103"/>
      <c r="C105" s="102"/>
      <c r="D105" s="104"/>
      <c r="E105" s="74"/>
    </row>
    <row r="106" spans="1:8" s="18" customFormat="1" ht="15.95" customHeight="1" thickBot="1" x14ac:dyDescent="0.3">
      <c r="A106" s="326" t="s">
        <v>81</v>
      </c>
      <c r="B106" s="327"/>
      <c r="C106" s="327"/>
      <c r="D106" s="328"/>
      <c r="G106" s="75"/>
      <c r="H106" s="75"/>
    </row>
    <row r="107" spans="1:8" ht="12.75" customHeight="1" x14ac:dyDescent="0.2">
      <c r="A107" s="316" t="s">
        <v>112</v>
      </c>
      <c r="B107" s="317"/>
      <c r="C107" s="317"/>
      <c r="D107" s="318"/>
      <c r="G107" s="74"/>
      <c r="H107" s="74"/>
    </row>
    <row r="108" spans="1:8" ht="12.75" customHeight="1" x14ac:dyDescent="0.2">
      <c r="A108" s="42" t="s">
        <v>83</v>
      </c>
      <c r="B108" s="30">
        <f>((('BW Data'!E18+('BW Data'!E19*Average_number_of_Skill_Groups_per_Supervisor))*Number_of_Supervisors)/Skill_Group_Refresh_Rate)*kbps*Bandwidth_Confidence_Factor_v9</f>
        <v>319.488</v>
      </c>
      <c r="C108" s="31" t="s">
        <v>7</v>
      </c>
      <c r="D108" s="32">
        <f>IF(B$137&gt;0,B108/B$137,0)</f>
        <v>1.4390729197187079E-2</v>
      </c>
      <c r="G108" s="74"/>
      <c r="H108" s="74"/>
    </row>
    <row r="109" spans="1:8" ht="12.75" customHeight="1" x14ac:dyDescent="0.2">
      <c r="A109" s="43" t="s">
        <v>85</v>
      </c>
      <c r="B109" s="8">
        <f>(IF(Agent_Task_Wrap_Up_Time&gt;0,Avg_agent_state_Changes_Per_Task_Wrap,Avg_Agent_State_Changes_Per_Task_NoWrap)*'BW Data'!E55*('Finesse 12.6'!Average_number_of_agents_per_Team/(Agent_Task_Wrap_Up_Time+Average_Task_Duration)) * Number_of_teams_for_supervisor* 'BW Data'!E77*kbps*Bandwidth_Confidence_Factor_v9)</f>
        <v>37.273600000000002</v>
      </c>
      <c r="C109" s="6" t="s">
        <v>7</v>
      </c>
      <c r="D109" s="32">
        <f>IF(B$137&gt;0,B109/B$137,0)</f>
        <v>1.6789184063384925E-3</v>
      </c>
      <c r="G109" s="74"/>
      <c r="H109" s="74"/>
    </row>
    <row r="110" spans="1:8" ht="12.75" customHeight="1" x14ac:dyDescent="0.2">
      <c r="A110" s="43" t="s">
        <v>138</v>
      </c>
      <c r="B110" s="8">
        <f>IF(Number_of_Supervisors&gt;0,((Calls_Per_Second * Percentage_of_BargedCalls) * 'BW Data'!E56) * kbps * Bandwidth_Confidence_Factor_v9,0)</f>
        <v>1152.9349565217392</v>
      </c>
      <c r="C110" s="6" t="s">
        <v>7</v>
      </c>
      <c r="D110" s="32">
        <f>IF(B$137&gt;0,B110/B$137,0)</f>
        <v>5.19317618855012E-2</v>
      </c>
      <c r="G110" s="74"/>
      <c r="H110" s="74"/>
    </row>
    <row r="111" spans="1:8" ht="12.75" customHeight="1" x14ac:dyDescent="0.2">
      <c r="A111" s="43" t="s">
        <v>139</v>
      </c>
      <c r="B111" s="8">
        <f>IF(Number_of_Supervisors&gt;0,((Calls_Per_Second * Percentage_of_InterceptedCalls) * 'BW Data'!E58) * kbps * Bandwidth_Confidence_Factor_v9,0)</f>
        <v>69.453913043478266</v>
      </c>
      <c r="C111" s="6" t="s">
        <v>7</v>
      </c>
      <c r="D111" s="32">
        <f>IF(B$137&gt;0,B111/B$137,0)</f>
        <v>3.1284193906928434E-3</v>
      </c>
      <c r="G111" s="74"/>
      <c r="H111" s="74"/>
    </row>
    <row r="112" spans="1:8" ht="12.75" customHeight="1" x14ac:dyDescent="0.2">
      <c r="A112" s="43" t="s">
        <v>111</v>
      </c>
      <c r="B112" s="8">
        <f>IF(Number_of_Supervisors&gt;0,((Calls_Per_Second * Percentage_Calls_Silently_Monitored) * 'BW Data'!E54) * kbps * Bandwidth_Confidence_Factor_v9,0)</f>
        <v>1625.2215652173913</v>
      </c>
      <c r="C112" s="6" t="s">
        <v>7</v>
      </c>
      <c r="D112" s="32">
        <f>IF(B$137&gt;0,B112/B$137,0)</f>
        <v>7.3205013742212527E-2</v>
      </c>
      <c r="E112" s="74"/>
      <c r="G112" s="74"/>
      <c r="H112" s="74"/>
    </row>
    <row r="113" spans="1:8" ht="12.75" customHeight="1" x14ac:dyDescent="0.2">
      <c r="A113" s="296" t="s">
        <v>303</v>
      </c>
      <c r="B113" s="297">
        <f>IF(Number_of_Supervisors&gt;0,((Calls_Per_Second * Percentage_Calls_Silently_Monitored) * 'BW Data'!E58) * kbps * Bandwidth_Confidence_Factor_v9,0)</f>
        <v>138.90782608695653</v>
      </c>
      <c r="C113" s="298"/>
      <c r="D113" s="299"/>
      <c r="E113" s="74"/>
      <c r="G113" s="74"/>
      <c r="H113" s="74"/>
    </row>
    <row r="114" spans="1:8" ht="12.75" customHeight="1" x14ac:dyDescent="0.2">
      <c r="A114" s="316" t="s">
        <v>113</v>
      </c>
      <c r="B114" s="317"/>
      <c r="C114" s="317"/>
      <c r="D114" s="318"/>
      <c r="E114" s="74"/>
      <c r="G114" s="74"/>
      <c r="H114" s="74"/>
    </row>
    <row r="115" spans="1:8" ht="12.75" customHeight="1" x14ac:dyDescent="0.2">
      <c r="A115" s="44" t="s">
        <v>28</v>
      </c>
      <c r="B115" s="8">
        <f>(((Calls_Per_Second*Percentage_of_Incoming_Straight_Calls) * 'BW Data'!E25) + ((Calls_Per_Second*Percentage_of_Outgoing_Straight_Calls) * 'BW Data'!E26)) * kbps * Bandwidth_Confidence_Factor_v9</f>
        <v>3167.0984347826088</v>
      </c>
      <c r="C115" s="6" t="s">
        <v>7</v>
      </c>
      <c r="D115" s="32">
        <f t="shared" ref="D115:D127" si="0">IF(B$137&gt;0,B115/B$137,0)</f>
        <v>0.14265592421559364</v>
      </c>
      <c r="E115" s="74"/>
      <c r="G115" s="74"/>
      <c r="H115" s="74"/>
    </row>
    <row r="116" spans="1:8" ht="12.75" customHeight="1" x14ac:dyDescent="0.2">
      <c r="A116" s="149" t="s">
        <v>150</v>
      </c>
      <c r="B116" s="150">
        <f>((Calls_Per_Second*Percentage_of_SingleStep_Transfer_Calls)*'BW Data'!E29*kbps*Bandwidth_Confidence_Factor_v9)</f>
        <v>2222.5252173913045</v>
      </c>
      <c r="C116" s="151" t="s">
        <v>7</v>
      </c>
      <c r="D116" s="152">
        <f t="shared" si="0"/>
        <v>0.10010942050217099</v>
      </c>
      <c r="E116" s="74"/>
      <c r="G116" s="74"/>
      <c r="H116" s="74"/>
    </row>
    <row r="117" spans="1:8" ht="12.75" customHeight="1" x14ac:dyDescent="0.2">
      <c r="A117" s="44" t="s">
        <v>26</v>
      </c>
      <c r="B117" s="8">
        <f>((Calls_Per_Second * Percentage_of_Consultative_Transfer_Calls) * 'BW Data'!E27) * kbps * Bandwidth_Confidence_Factor_v9</f>
        <v>2500.3408695652174</v>
      </c>
      <c r="C117" s="6" t="s">
        <v>7</v>
      </c>
      <c r="D117" s="32">
        <f t="shared" si="0"/>
        <v>0.11262309806494235</v>
      </c>
      <c r="E117" s="74"/>
      <c r="G117" s="74"/>
      <c r="H117" s="74"/>
    </row>
    <row r="118" spans="1:8" ht="12.75" customHeight="1" x14ac:dyDescent="0.2">
      <c r="A118" s="44" t="s">
        <v>27</v>
      </c>
      <c r="B118" s="8">
        <f>((Calls_Per_Second* Percentage_of_Consultative_Conference_Calls) * 'BW Data'!E28) * kbps * Bandwidth_Confidence_Factor_v9</f>
        <v>1347.4059130434784</v>
      </c>
      <c r="C118" s="6" t="s">
        <v>7</v>
      </c>
      <c r="D118" s="32">
        <f t="shared" si="0"/>
        <v>6.0691336179441162E-2</v>
      </c>
      <c r="E118" s="74"/>
      <c r="G118" s="74"/>
      <c r="H118" s="74"/>
    </row>
    <row r="119" spans="1:8" ht="12.75" customHeight="1" x14ac:dyDescent="0.2">
      <c r="A119" s="43" t="s">
        <v>92</v>
      </c>
      <c r="B119" s="8">
        <f>IF(Agent_Call_Wrap_Up_Time&gt;0,Calls_Per_Second*'BW Data'!E30 * kbps * Bandwidth_Confidence_Factor_v9,0)</f>
        <v>6945.391304347826</v>
      </c>
      <c r="C119" s="98" t="s">
        <v>7</v>
      </c>
      <c r="D119" s="32">
        <f t="shared" si="0"/>
        <v>0.31284193906928431</v>
      </c>
      <c r="E119" s="74"/>
      <c r="G119" s="74"/>
      <c r="H119" s="74"/>
    </row>
    <row r="120" spans="1:8" ht="12.75" customHeight="1" x14ac:dyDescent="0.2">
      <c r="A120" s="43" t="s">
        <v>107</v>
      </c>
      <c r="B120" s="8">
        <f>IF(Number_of_Configured_ECC_variables&gt;0,(Sum_of_all_ECC_Variable_Values+Sum_of_all_ECC_Variable_Names+(Number_of_Configured_ECC_variables*'BW Data'!E46))*Avg_Number_Dialog_Events_Per_IncomingCall*Percentage_of_Incoming_Straight_Calls*Calls_Per_Second*kbps*Bandwidth_Confidence_Factor_v9,0)</f>
        <v>338.6692173913043</v>
      </c>
      <c r="C120" s="6" t="s">
        <v>7</v>
      </c>
      <c r="D120" s="32">
        <f t="shared" si="0"/>
        <v>1.5254710646101077E-2</v>
      </c>
      <c r="E120" s="74"/>
      <c r="G120" s="74"/>
      <c r="H120" s="74"/>
    </row>
    <row r="121" spans="1:8" ht="12.75" customHeight="1" x14ac:dyDescent="0.2">
      <c r="A121" s="43" t="s">
        <v>114</v>
      </c>
      <c r="B121" s="8">
        <f>IF(Number_of_Configured_ECC_variables&gt;0,(Sum_of_all_ECC_Variable_Values+Sum_of_all_ECC_Variable_Names+(Number_of_Configured_ECC_variables*'BW Data'!E46))*Avg_Number_Dialog_Events_Per_OutCall*Percentage_of_Outgoing_Straight_Calls*Calls_Per_Second*kbps*Bandwidth_Confidence_Factor_v9,0)</f>
        <v>903.1179130434781</v>
      </c>
      <c r="C121" s="6" t="s">
        <v>7</v>
      </c>
      <c r="D121" s="32">
        <f t="shared" si="0"/>
        <v>4.0679228389602869E-2</v>
      </c>
      <c r="E121" s="74"/>
      <c r="G121" s="74"/>
      <c r="H121" s="74"/>
    </row>
    <row r="122" spans="1:8" ht="12.75" customHeight="1" x14ac:dyDescent="0.2">
      <c r="A122" s="43" t="s">
        <v>108</v>
      </c>
      <c r="B122" s="8">
        <f>IF(Number_of_Configured_ECC_variables&gt;0,(Sum_of_all_ECC_Variable_Values+Sum_of_all_ECC_Variable_Names+(Number_of_Configured_ECC_variables*'BW Data'!E46))*Avg_Number_Dialog_Events_Per_ConfCall*Percentage_of_Consultative_Conference_Calls*Calls_Per_Second*kbps*Bandwidth_Confidence_Factor_v9,0)</f>
        <v>564.44869565217391</v>
      </c>
      <c r="C122" s="6" t="s">
        <v>7</v>
      </c>
      <c r="D122" s="32">
        <f t="shared" si="0"/>
        <v>2.5424517743501799E-2</v>
      </c>
      <c r="E122" s="74"/>
      <c r="G122" s="74"/>
      <c r="H122" s="74"/>
    </row>
    <row r="123" spans="1:8" ht="12.75" customHeight="1" x14ac:dyDescent="0.2">
      <c r="A123" s="43" t="s">
        <v>109</v>
      </c>
      <c r="B123" s="8">
        <f>IF(Number_of_Configured_ECC_variables&gt;0,(Sum_of_all_ECC_Variable_Values+Sum_of_all_ECC_Variable_Names+(Number_of_Configured_ECC_variables*'BW Data'!E46))*Avg_Number_Dialog_Events_Per_XferCall*Percentage_of_Consultative_Transfer_Calls*Calls_Per_Second*kbps*Bandwidth_Confidence_Factor_v9,0)</f>
        <v>451.55895652173916</v>
      </c>
      <c r="C123" s="6" t="s">
        <v>7</v>
      </c>
      <c r="D123" s="32">
        <f t="shared" si="0"/>
        <v>2.0339614194801438E-2</v>
      </c>
      <c r="E123" s="74"/>
      <c r="G123" s="74"/>
      <c r="H123" s="74"/>
    </row>
    <row r="124" spans="1:8" ht="12" customHeight="1" x14ac:dyDescent="0.2">
      <c r="A124" s="43" t="s">
        <v>103</v>
      </c>
      <c r="B124" s="8">
        <f>(Sum_of_all_Call_Variable_Values+(Number_of_Configured_Call_variables*'BW Data'!E49))*Avg_Number_Dialog_Events_Per_IncomingCall*Percentage_of_Incoming_Straight_Calls*Calls_Per_Second*kbps*Bandwidth_Confidence_Factor_v9</f>
        <v>62.020173913043479</v>
      </c>
      <c r="C124" s="6" t="s">
        <v>7</v>
      </c>
      <c r="D124" s="32">
        <f t="shared" si="0"/>
        <v>2.7935807527827497E-3</v>
      </c>
      <c r="E124" s="74"/>
      <c r="G124" s="74"/>
      <c r="H124" s="74"/>
    </row>
    <row r="125" spans="1:8" ht="12.75" customHeight="1" x14ac:dyDescent="0.2">
      <c r="A125" s="43" t="s">
        <v>104</v>
      </c>
      <c r="B125" s="8">
        <f>(Sum_of_all_Call_Variable_Values+(Number_of_Configured_Call_variables*'BW Data'!E49))*Avg_Number_Dialog_Events_Per_OutCall*Percentage_of_Outgoing_Straight_Calls*Calls_Per_Second*kbps*Bandwidth_Confidence_Factor_v9</f>
        <v>165.38713043478262</v>
      </c>
      <c r="C125" s="6" t="s">
        <v>7</v>
      </c>
      <c r="D125" s="32">
        <f t="shared" si="0"/>
        <v>7.4495486740873331E-3</v>
      </c>
      <c r="E125" s="74"/>
      <c r="G125" s="74"/>
      <c r="H125" s="74"/>
    </row>
    <row r="126" spans="1:8" ht="12.75" customHeight="1" x14ac:dyDescent="0.2">
      <c r="A126" s="43" t="s">
        <v>105</v>
      </c>
      <c r="B126" s="8">
        <f>(Sum_of_all_Call_Variable_Values_v901+(Number_of_Configured_Call_variables*'BW Data'!E49))*Avg_Number_Dialog_Events_Per_ConfCall*Percentage_of_Consultative_Conference_Calls*Calls_Per_Second*kbps*Bandwidth_Confidence_Factor_v9</f>
        <v>103.36695652173913</v>
      </c>
      <c r="C126" s="6" t="s">
        <v>7</v>
      </c>
      <c r="D126" s="32">
        <f t="shared" si="0"/>
        <v>4.6559679213045825E-3</v>
      </c>
      <c r="E126" s="74"/>
      <c r="G126" s="74"/>
      <c r="H126" s="74"/>
    </row>
    <row r="127" spans="1:8" ht="12.75" customHeight="1" x14ac:dyDescent="0.2">
      <c r="A127" s="43" t="s">
        <v>106</v>
      </c>
      <c r="B127" s="8">
        <f>(Sum_of_all_Call_Variable_Values+(Number_of_Configured_Call_variables*'BW Data'!E48))*Avg_Number_Dialog_Events_Per_XferCall*Percentage_of_Consultative_Transfer_Calls*Calls_Per_Second*kbps*Bandwidth_Confidence_Factor_v9</f>
        <v>16.278260869565219</v>
      </c>
      <c r="C127" s="6" t="s">
        <v>7</v>
      </c>
      <c r="D127" s="32">
        <f t="shared" si="0"/>
        <v>7.3322329469363524E-4</v>
      </c>
      <c r="E127" s="74"/>
      <c r="G127" s="74"/>
      <c r="H127" s="74"/>
    </row>
    <row r="128" spans="1:8" ht="12.75" customHeight="1" x14ac:dyDescent="0.2">
      <c r="A128" s="43" t="s">
        <v>304</v>
      </c>
      <c r="B128" s="8">
        <f>('BW Data'!E52  + (((Number_of_Agents_Answers_Enabled/Number_of_Agents) + (Number_of_Agents_Transcript_Enabled/Number_of_Agents)) * 'BW Data'!E51  ) * Percentage_Calls_CCAI_Enabled) *Avg_Number_Dialog_Events_Per_IncomingCall*Calls_Per_Second*kbps*Bandwidth_Confidence_Factor_v9</f>
        <v>69.182608695652178</v>
      </c>
      <c r="C128" s="6" t="s">
        <v>7</v>
      </c>
      <c r="D128" s="32">
        <f t="shared" ref="D128" si="1">IF(B$137&gt;0,B128/B$137,0)</f>
        <v>3.1161990024479494E-3</v>
      </c>
      <c r="E128" s="74"/>
      <c r="G128" s="74"/>
      <c r="H128" s="74"/>
    </row>
    <row r="129" spans="1:8" ht="12.75" customHeight="1" x14ac:dyDescent="0.2">
      <c r="A129" s="43" t="s">
        <v>244</v>
      </c>
      <c r="B129" s="300">
        <f>(((B100/(60*60))*B101)/1024)</f>
        <v>0.1111111111111111</v>
      </c>
      <c r="C129" s="6" t="s">
        <v>7</v>
      </c>
      <c r="D129" s="32">
        <f t="shared" ref="D129:D136" si="2">IF(B$137&gt;0,B129/B$137,0)</f>
        <v>5.0047886330584068E-6</v>
      </c>
      <c r="E129" s="74"/>
      <c r="G129" s="74"/>
      <c r="H129" s="74"/>
    </row>
    <row r="130" spans="1:8" ht="12.75" customHeight="1" x14ac:dyDescent="0.2">
      <c r="A130" s="203" t="s">
        <v>205</v>
      </c>
      <c r="B130" s="204">
        <f>((Tasks_Per_Second*Percentage_of_Incoming_Straight_Tasks) * 'BW Data'!E38) * kbps * Bandwidth_Confidence_Factor</f>
        <v>7.7514666666666676E-2</v>
      </c>
      <c r="C130" s="200" t="s">
        <v>7</v>
      </c>
      <c r="D130" s="205">
        <f t="shared" si="2"/>
        <v>3.4915007036578029E-6</v>
      </c>
      <c r="E130" s="74"/>
      <c r="G130" s="74"/>
      <c r="H130" s="74"/>
    </row>
    <row r="131" spans="1:8" ht="12.75" customHeight="1" x14ac:dyDescent="0.2">
      <c r="A131" s="206" t="s">
        <v>206</v>
      </c>
      <c r="B131" s="207">
        <f>((Tasks_Per_Second*Percentage_of_Transferred_Tasks)*'BW Data'!E39*kbps*Bandwidth_Confidence_Factor)</f>
        <v>0.15735142222222223</v>
      </c>
      <c r="C131" s="208" t="s">
        <v>7</v>
      </c>
      <c r="D131" s="209">
        <f t="shared" si="2"/>
        <v>7.0875954840001667E-6</v>
      </c>
      <c r="E131" s="74"/>
      <c r="G131" s="74"/>
      <c r="H131" s="74"/>
    </row>
    <row r="132" spans="1:8" ht="12.75" customHeight="1" x14ac:dyDescent="0.2">
      <c r="A132" s="203" t="s">
        <v>207</v>
      </c>
      <c r="B132" s="204">
        <f>((Tasks_Per_Second * Percentage_of_Interrupted_Tasks) * 'BW Data'!E42) * kbps * Bandwidth_Confidence_Factor</f>
        <v>0.42451644444444442</v>
      </c>
      <c r="C132" s="200" t="s">
        <v>7</v>
      </c>
      <c r="D132" s="205">
        <f t="shared" si="2"/>
        <v>1.9121535681317333E-5</v>
      </c>
      <c r="E132" s="74"/>
      <c r="G132" s="74"/>
      <c r="H132" s="74"/>
    </row>
    <row r="133" spans="1:8" ht="12.75" customHeight="1" x14ac:dyDescent="0.2">
      <c r="A133" s="203" t="s">
        <v>208</v>
      </c>
      <c r="B133" s="204">
        <f>(Tasks_Per_Second*Percentage_of_Paused_and_Resumed_Tasks)*('BW Data'!E40+'BW Data'!E41)*kbps*Bandwidth_Confidence_Factor</f>
        <v>0.11776555555555555</v>
      </c>
      <c r="C133" s="200" t="s">
        <v>7</v>
      </c>
      <c r="D133" s="205">
        <f t="shared" si="2"/>
        <v>5.3045254242922743E-6</v>
      </c>
      <c r="E133" s="74"/>
      <c r="G133" s="74"/>
      <c r="H133" s="74"/>
    </row>
    <row r="134" spans="1:8" ht="12.75" customHeight="1" thickBot="1" x14ac:dyDescent="0.25">
      <c r="A134" s="210" t="s">
        <v>211</v>
      </c>
      <c r="B134" s="204">
        <f>IF(Agent_Task_Wrap_Up_Time&gt;0,Tasks_Per_Second*'BW Data'!E43*kbps*Bandwidth_Confidence_Factor,0)</f>
        <v>0</v>
      </c>
      <c r="C134" s="211" t="s">
        <v>7</v>
      </c>
      <c r="D134" s="205">
        <f t="shared" si="2"/>
        <v>0</v>
      </c>
      <c r="E134" s="74"/>
      <c r="F134">
        <f>Percentage_Calls_CCAI_Enabled</f>
        <v>1</v>
      </c>
      <c r="G134" s="74"/>
      <c r="H134" s="74"/>
    </row>
    <row r="135" spans="1:8" ht="12.75" customHeight="1" thickBot="1" x14ac:dyDescent="0.25">
      <c r="A135" s="41" t="s">
        <v>61</v>
      </c>
      <c r="B135" s="39">
        <f>SUM(B115:B134)</f>
        <v>18857.679911373911</v>
      </c>
      <c r="C135" s="40" t="s">
        <v>7</v>
      </c>
      <c r="D135" s="33">
        <f t="shared" si="2"/>
        <v>0.84940831859668209</v>
      </c>
      <c r="E135" s="74"/>
      <c r="F135">
        <f>538 *kbps</f>
        <v>4.3040000000000003</v>
      </c>
      <c r="G135" s="74"/>
      <c r="H135" s="74"/>
    </row>
    <row r="136" spans="1:8" ht="12.75" customHeight="1" thickBot="1" x14ac:dyDescent="0.25">
      <c r="A136" s="41" t="s">
        <v>62</v>
      </c>
      <c r="B136" s="39">
        <f>SUM(B108:B113)</f>
        <v>3343.2798608695653</v>
      </c>
      <c r="C136" s="40" t="s">
        <v>7</v>
      </c>
      <c r="D136" s="33">
        <f t="shared" si="2"/>
        <v>0.15059168140331783</v>
      </c>
      <c r="E136" s="74"/>
      <c r="F136">
        <f>13.04*F135 * 1.3</f>
        <v>72.961408000000006</v>
      </c>
      <c r="G136" s="74"/>
      <c r="H136" s="74"/>
    </row>
    <row r="137" spans="1:8" s="18" customFormat="1" ht="15.95" customHeight="1" thickBot="1" x14ac:dyDescent="0.3">
      <c r="A137" s="49" t="s">
        <v>63</v>
      </c>
      <c r="B137" s="50">
        <f>SUM(B135:B136)</f>
        <v>22200.959772243477</v>
      </c>
      <c r="C137" s="51" t="s">
        <v>7</v>
      </c>
      <c r="D137" s="52">
        <f>SUM(D108:D128)</f>
        <v>0.99370315127268827</v>
      </c>
      <c r="E137" s="74"/>
      <c r="G137" s="75"/>
      <c r="H137" s="75"/>
    </row>
    <row r="138" spans="1:8" ht="12.75" customHeight="1" thickBot="1" x14ac:dyDescent="0.25">
      <c r="A138" s="41" t="s">
        <v>297</v>
      </c>
      <c r="B138" s="39">
        <f>IF(Number_of_Agents&gt;0,MAX(SUM(B115, B120:B121, B124:B125),SUM(B116, B123, B127), SUM(B117, B123, B127), SUM(B118, B122, B126), SUM(B119, B124))/Calls_Per_Second,0)</f>
        <v>537.23487999999998</v>
      </c>
      <c r="C138" s="40" t="s">
        <v>7</v>
      </c>
      <c r="D138" s="33"/>
      <c r="F138">
        <f>0.08 * 1000 / 8</f>
        <v>10</v>
      </c>
      <c r="G138" s="74"/>
      <c r="H138" s="74"/>
    </row>
    <row r="139" spans="1:8" ht="12.75" customHeight="1" thickBot="1" x14ac:dyDescent="0.25">
      <c r="A139" s="41" t="s">
        <v>298</v>
      </c>
      <c r="B139" s="39">
        <f>IF(Number_of_Supervisors&gt;0,SUM(B108:B109, SUM(MAX(B120:B128), MAX(B110:B119)))/Calls_Per_Second,0)</f>
        <v>629.07076266666672</v>
      </c>
      <c r="C139" s="40" t="s">
        <v>7</v>
      </c>
      <c r="D139" s="33"/>
      <c r="G139" s="74"/>
      <c r="H139" s="74"/>
    </row>
    <row r="140" spans="1:8" ht="12.75" customHeight="1" x14ac:dyDescent="0.2"/>
    <row r="141" spans="1:8" s="273" customFormat="1" ht="26.25" customHeight="1" x14ac:dyDescent="0.25">
      <c r="A141" s="102" t="s">
        <v>276</v>
      </c>
      <c r="B141" s="276"/>
      <c r="C141" s="275"/>
      <c r="D141" s="277"/>
      <c r="E141" s="274"/>
    </row>
    <row r="142" spans="1:8" s="273" customFormat="1" ht="12.75" customHeight="1" x14ac:dyDescent="0.2">
      <c r="A142" s="289" t="s">
        <v>284</v>
      </c>
      <c r="B142" s="290">
        <f>(Calls_Per_Second *Percentage_Calls_CCAI_Enabled  * 'BW Data'!H22)*kbps * Bandwidth_Confidence_Factor_CCAI</f>
        <v>72.985391304347829</v>
      </c>
      <c r="C142" s="98" t="s">
        <v>7</v>
      </c>
      <c r="D142" s="278"/>
      <c r="E142" s="274"/>
      <c r="G142" s="274"/>
      <c r="H142" s="274"/>
    </row>
    <row r="143" spans="1:8" s="273" customFormat="1" ht="12.75" customHeight="1" thickBot="1" x14ac:dyDescent="0.25">
      <c r="A143" s="289" t="s">
        <v>307</v>
      </c>
      <c r="B143" s="290">
        <f>(Calls_Per_Second *Percentage_Calls_CCAI_Enabled * 'BW Data'!H23)*kbps*Bandwidth_Confidence_Factor_CCAI</f>
        <v>71.140521739130421</v>
      </c>
      <c r="C143" s="98" t="s">
        <v>7</v>
      </c>
      <c r="D143" s="278"/>
      <c r="E143" s="274"/>
      <c r="G143" s="274"/>
      <c r="H143" s="274"/>
    </row>
    <row r="144" spans="1:8" s="18" customFormat="1" ht="15.95" customHeight="1" thickBot="1" x14ac:dyDescent="0.3">
      <c r="A144" s="49" t="s">
        <v>63</v>
      </c>
      <c r="B144" s="50">
        <f>SUM(B142:B143)</f>
        <v>144.12591304347825</v>
      </c>
      <c r="C144" s="51" t="s">
        <v>7</v>
      </c>
      <c r="D144" s="52">
        <f>SUM(D118:D137)</f>
        <v>2.4877230270866635</v>
      </c>
      <c r="E144" s="74"/>
      <c r="G144" s="75"/>
      <c r="H144" s="75"/>
    </row>
    <row r="145" spans="1:8" ht="12.75" customHeight="1" thickBot="1" x14ac:dyDescent="0.25">
      <c r="A145" s="41" t="s">
        <v>93</v>
      </c>
      <c r="B145" s="286">
        <f>IF(Number_of_Agents&gt;0,B144/Calls_Per_Second,0)</f>
        <v>11.049653333333334</v>
      </c>
      <c r="C145" s="40" t="s">
        <v>7</v>
      </c>
      <c r="D145" s="33" t="s">
        <v>292</v>
      </c>
      <c r="G145" s="74"/>
      <c r="H145" s="74"/>
    </row>
    <row r="146" spans="1:8" ht="18.95" customHeight="1" thickBot="1" x14ac:dyDescent="0.3">
      <c r="A146" s="339" t="s">
        <v>251</v>
      </c>
      <c r="B146" s="340"/>
      <c r="C146" s="340"/>
      <c r="D146" s="340"/>
    </row>
    <row r="147" spans="1:8" ht="12.75" customHeight="1" thickBot="1" x14ac:dyDescent="0.25">
      <c r="A147" s="240" t="s">
        <v>247</v>
      </c>
      <c r="B147" s="256">
        <v>3000</v>
      </c>
      <c r="C147" s="255"/>
      <c r="D147" s="21"/>
    </row>
    <row r="148" spans="1:8" ht="12.75" customHeight="1" thickBot="1" x14ac:dyDescent="0.25">
      <c r="A148" s="240" t="s">
        <v>250</v>
      </c>
      <c r="B148" s="257">
        <v>0.36699999999999999</v>
      </c>
      <c r="C148" s="263" t="s">
        <v>248</v>
      </c>
      <c r="D148" s="21"/>
    </row>
    <row r="149" spans="1:8" ht="12.75" customHeight="1" x14ac:dyDescent="0.2"/>
    <row r="150" spans="1:8" ht="12.75" customHeight="1" x14ac:dyDescent="0.2"/>
    <row r="151" spans="1:8" ht="12.75" customHeight="1" x14ac:dyDescent="0.2"/>
    <row r="152" spans="1:8" ht="22.5" customHeight="1" thickBot="1" x14ac:dyDescent="0.3">
      <c r="A152" s="102" t="s">
        <v>136</v>
      </c>
      <c r="B152" s="103"/>
      <c r="C152" s="102"/>
      <c r="D152" s="104"/>
    </row>
    <row r="153" spans="1:8" s="18" customFormat="1" ht="15.95" customHeight="1" thickBot="1" x14ac:dyDescent="0.3">
      <c r="A153" s="326" t="s">
        <v>81</v>
      </c>
      <c r="B153" s="327"/>
      <c r="C153" s="327"/>
      <c r="D153" s="328"/>
      <c r="G153" s="75"/>
      <c r="H153" s="75"/>
    </row>
    <row r="154" spans="1:8" ht="12.75" customHeight="1" x14ac:dyDescent="0.2">
      <c r="A154" s="316" t="s">
        <v>112</v>
      </c>
      <c r="B154" s="317"/>
      <c r="C154" s="317"/>
      <c r="D154" s="318"/>
      <c r="G154" s="74"/>
      <c r="H154" s="74"/>
    </row>
    <row r="155" spans="1:8" ht="12.75" customHeight="1" x14ac:dyDescent="0.2">
      <c r="A155" s="42" t="s">
        <v>137</v>
      </c>
      <c r="B155" s="30">
        <f>((Number_of_Supervisors*'BW Data'!F7)/(Max_Login_Time_All_Agents*60))*kbps*Bandwidth_Confidence_Factor_v91</f>
        <v>56.735466666666667</v>
      </c>
      <c r="C155" s="31" t="s">
        <v>7</v>
      </c>
      <c r="D155" s="32">
        <f t="shared" ref="D155:D161" si="3">IF(B$186&gt;0,B155/B$186,0)</f>
        <v>7.7141045329238312E-3</v>
      </c>
      <c r="G155" s="74"/>
      <c r="H155" s="74"/>
    </row>
    <row r="156" spans="1:8" ht="12.75" customHeight="1" x14ac:dyDescent="0.2">
      <c r="A156" s="42" t="s">
        <v>83</v>
      </c>
      <c r="B156" s="30">
        <f>(('BW Data'!F19*Number_of_Skill_Groups_PG)/Skill_Group_Refresh_Rate_v91)*kbps*Bandwidth_Confidence_Factor_v91</f>
        <v>2237.04</v>
      </c>
      <c r="C156" s="31" t="s">
        <v>7</v>
      </c>
      <c r="D156" s="32">
        <f t="shared" si="3"/>
        <v>0.30416177777683906</v>
      </c>
      <c r="G156" s="74"/>
      <c r="H156" s="74"/>
    </row>
    <row r="157" spans="1:8" ht="12.75" customHeight="1" x14ac:dyDescent="0.2">
      <c r="A157" s="43" t="s">
        <v>85</v>
      </c>
      <c r="B157" s="30">
        <f>(IF(Agent_Call_Wrap_Up_Time&gt;0,Avg_Agent_State_Changes_Per_Call_Wrap,Avg_Agent_State_Changes_Per_Call_NoWrap)*'BW Data'!F55*Calls_Per_Second*kbps*Bandwidth_Confidence_Factor_v91)</f>
        <v>1054.8313043478261</v>
      </c>
      <c r="C157" s="6" t="s">
        <v>7</v>
      </c>
      <c r="D157" s="32">
        <f t="shared" si="3"/>
        <v>0.14342138038886063</v>
      </c>
      <c r="G157" s="74"/>
      <c r="H157" s="74"/>
    </row>
    <row r="158" spans="1:8" ht="12.75" customHeight="1" x14ac:dyDescent="0.2">
      <c r="A158" s="43" t="s">
        <v>138</v>
      </c>
      <c r="B158" s="30">
        <f>IF(Number_of_Supervisors&gt;0,((Calls_Per_Second* Percentage_of_BargedCalls) * 'BW Data'!F56) * kbps * Bandwidth_Confidence_Factor_v91,0)</f>
        <v>69.453913043478266</v>
      </c>
      <c r="C158" s="6" t="s">
        <v>7</v>
      </c>
      <c r="D158" s="32">
        <f t="shared" si="3"/>
        <v>9.4433830708714819E-3</v>
      </c>
      <c r="G158" s="74"/>
      <c r="H158" s="74"/>
    </row>
    <row r="159" spans="1:8" ht="12.75" customHeight="1" x14ac:dyDescent="0.2">
      <c r="A159" s="43" t="s">
        <v>139</v>
      </c>
      <c r="B159" s="30">
        <f>IF(Number_of_Supervisors&gt;0,((Calls_Per_Second* Percentage_of_InterceptedCalls) * 'BW Data'!F58) * kbps * Bandwidth_Confidence_Factor_v91,0)</f>
        <v>117.67826086956522</v>
      </c>
      <c r="C159" s="6" t="s">
        <v>7</v>
      </c>
      <c r="D159" s="32">
        <f t="shared" si="3"/>
        <v>1.6000263308556664E-2</v>
      </c>
      <c r="G159" s="74"/>
      <c r="H159" s="74"/>
    </row>
    <row r="160" spans="1:8" ht="12.75" customHeight="1" x14ac:dyDescent="0.2">
      <c r="A160" s="43" t="s">
        <v>303</v>
      </c>
      <c r="B160" s="8">
        <f>IF(Number_of_Supervisors&gt;0,((Calls_Per_Second* Percentage_Calls_Silently_Monitored) * 'BW Data'!F58) * kbps * Bandwidth_Confidence_Factor_v91,0)</f>
        <v>235.35652173913044</v>
      </c>
      <c r="C160" s="6" t="s">
        <v>7</v>
      </c>
      <c r="D160" s="32">
        <f t="shared" si="3"/>
        <v>3.2000526617113327E-2</v>
      </c>
      <c r="G160" s="74"/>
      <c r="H160" s="74"/>
    </row>
    <row r="161" spans="1:8" ht="12.75" customHeight="1" x14ac:dyDescent="0.2">
      <c r="A161" s="43" t="s">
        <v>111</v>
      </c>
      <c r="B161" s="8">
        <f>IF(Number_of_Supervisors&gt;0,((Calls_Per_Second* Percentage_Calls_Silently_Monitored) * 'BW Data'!F54) * kbps * Bandwidth_Confidence_Factor_v91,0)</f>
        <v>49.268869565217386</v>
      </c>
      <c r="C161" s="6" t="s">
        <v>7</v>
      </c>
      <c r="D161" s="32">
        <f t="shared" si="3"/>
        <v>6.6988998658994567E-3</v>
      </c>
      <c r="G161" s="74"/>
      <c r="H161" s="74"/>
    </row>
    <row r="162" spans="1:8" ht="12.75" customHeight="1" x14ac:dyDescent="0.2">
      <c r="A162" s="316" t="s">
        <v>113</v>
      </c>
      <c r="B162" s="317"/>
      <c r="C162" s="317"/>
      <c r="D162" s="318"/>
      <c r="G162" s="74"/>
      <c r="H162" s="74"/>
    </row>
    <row r="163" spans="1:8" ht="12.75" customHeight="1" x14ac:dyDescent="0.2">
      <c r="A163" s="44" t="s">
        <v>28</v>
      </c>
      <c r="B163" s="8">
        <f>(((Calls_Per_Second*Percentage_of_Incoming_Straight_Calls) * 'BW Data'!F25) + ((Calls_Per_Second*Percentage_of_Outgoing_Straight_Calls) * 'BW Data'!F26)) * kbps * Bandwidth_Confidence_Factor_v91</f>
        <v>692.76208695652178</v>
      </c>
      <c r="C163" s="6" t="s">
        <v>7</v>
      </c>
      <c r="D163" s="32">
        <f t="shared" ref="D163:D176" si="4">IF(B$186&gt;0,B163/B$186,0)</f>
        <v>9.4192212899674957E-2</v>
      </c>
      <c r="G163" s="74"/>
      <c r="H163" s="74"/>
    </row>
    <row r="164" spans="1:8" ht="12.75" hidden="1" customHeight="1" x14ac:dyDescent="0.2">
      <c r="A164" s="89" t="s">
        <v>82</v>
      </c>
      <c r="B164" s="88">
        <v>0</v>
      </c>
      <c r="C164" s="90" t="s">
        <v>7</v>
      </c>
      <c r="D164" s="32">
        <f t="shared" si="4"/>
        <v>0</v>
      </c>
      <c r="G164" s="74"/>
      <c r="H164" s="74"/>
    </row>
    <row r="165" spans="1:8" ht="12.75" customHeight="1" x14ac:dyDescent="0.2">
      <c r="A165" s="44" t="s">
        <v>26</v>
      </c>
      <c r="B165" s="8">
        <f>((Calls_Per_Second* Percentage_of_Consultative_Transfer_Calls) * 'BW Data'!F27) * kbps * Bandwidth_Confidence_Factor_v91</f>
        <v>191.81217391304349</v>
      </c>
      <c r="C165" s="6" t="s">
        <v>7</v>
      </c>
      <c r="D165" s="32">
        <f t="shared" si="4"/>
        <v>2.6079968090258351E-2</v>
      </c>
      <c r="G165" s="74"/>
      <c r="H165" s="74"/>
    </row>
    <row r="166" spans="1:8" ht="12.75" customHeight="1" x14ac:dyDescent="0.2">
      <c r="A166" s="44" t="s">
        <v>27</v>
      </c>
      <c r="B166" s="8">
        <f>((Calls_Per_Second * Percentage_of_Consultative_Conference_Calls) * 'BW Data'!F28) * kbps * Bandwidth_Confidence_Factor_v91</f>
        <v>189.94017391304348</v>
      </c>
      <c r="C166" s="6" t="s">
        <v>7</v>
      </c>
      <c r="D166" s="32">
        <f t="shared" si="4"/>
        <v>2.5825439405926267E-2</v>
      </c>
      <c r="G166" s="74"/>
      <c r="H166" s="74"/>
    </row>
    <row r="167" spans="1:8" ht="12.75" customHeight="1" x14ac:dyDescent="0.2">
      <c r="A167" s="43" t="s">
        <v>132</v>
      </c>
      <c r="B167" s="8">
        <f>((Calls_Per_Second * Percentage_of_SingleStep_Transfer_Calls) * 'BW Data'!F29) * kbps * Bandwidth_Confidence_Factor_v91</f>
        <v>344.61078260869573</v>
      </c>
      <c r="C167" s="98" t="s">
        <v>7</v>
      </c>
      <c r="D167" s="32">
        <f t="shared" si="4"/>
        <v>4.6855410846175623E-2</v>
      </c>
      <c r="G167" s="74"/>
      <c r="H167" s="74"/>
    </row>
    <row r="168" spans="1:8" ht="12.75" customHeight="1" x14ac:dyDescent="0.2">
      <c r="A168" s="43" t="s">
        <v>92</v>
      </c>
      <c r="B168" s="8">
        <f>IF(Agent_Call_Wrap_Up_Time&gt;0,Calls_Per_Second*'BW Data'!F30 * kbps * Bandwidth_Confidence_Factor_v91,0)</f>
        <v>695.48869565217387</v>
      </c>
      <c r="C168" s="98" t="s">
        <v>7</v>
      </c>
      <c r="D168" s="32">
        <f t="shared" si="4"/>
        <v>9.456293946163688E-2</v>
      </c>
      <c r="G168" s="74"/>
      <c r="H168" s="74"/>
    </row>
    <row r="169" spans="1:8" ht="12.75" customHeight="1" x14ac:dyDescent="0.2">
      <c r="A169" s="43" t="s">
        <v>107</v>
      </c>
      <c r="B169" s="8">
        <f>IF(Number_of_Configured_ECC_variables&gt;0,(Sum_of_all_ECC_Variable_Values+Sum_of_all_ECC_Variable_Names)*Percentage_of_Incoming_Straight_Calls*Calls_Per_Second*kbps*Bandwidth_Confidence_Factor_v91,0)</f>
        <v>106.21565217391303</v>
      </c>
      <c r="C169" s="6" t="s">
        <v>7</v>
      </c>
      <c r="D169" s="32">
        <f t="shared" si="4"/>
        <v>1.4441736219711659E-2</v>
      </c>
      <c r="G169" s="74"/>
      <c r="H169" s="74"/>
    </row>
    <row r="170" spans="1:8" ht="12.75" customHeight="1" x14ac:dyDescent="0.2">
      <c r="A170" s="43" t="s">
        <v>114</v>
      </c>
      <c r="B170" s="8">
        <f>IF(Number_of_Configured_ECC_variables&gt;0,(Sum_of_all_ECC_Variable_Values+Sum_of_all_ECC_Variable_Names)*Percentage_of_Outgoing_Straight_Calls*Calls_Per_Second*kbps*Bandwidth_Confidence_Factor_v91,0)</f>
        <v>106.21565217391303</v>
      </c>
      <c r="C170" s="6" t="s">
        <v>7</v>
      </c>
      <c r="D170" s="32">
        <f t="shared" si="4"/>
        <v>1.4441736219711659E-2</v>
      </c>
      <c r="G170" s="74"/>
      <c r="H170" s="74"/>
    </row>
    <row r="171" spans="1:8" ht="12.75" customHeight="1" x14ac:dyDescent="0.2">
      <c r="A171" s="43" t="s">
        <v>108</v>
      </c>
      <c r="B171" s="8">
        <f>IF(Number_of_Configured_ECC_variables&gt;0,(Sum_of_all_ECC_Variable_Values+Sum_of_all_ECC_Variable_Names)*Percentage_of_Consultative_Conference_Calls*Calls_Per_Second*kbps*Bandwidth_Confidence_Factor_v91,0)</f>
        <v>35.405217391304348</v>
      </c>
      <c r="C171" s="6" t="s">
        <v>7</v>
      </c>
      <c r="D171" s="32">
        <f t="shared" si="4"/>
        <v>4.8139120732372202E-3</v>
      </c>
      <c r="G171" s="74"/>
      <c r="H171" s="74"/>
    </row>
    <row r="172" spans="1:8" ht="12.75" customHeight="1" x14ac:dyDescent="0.2">
      <c r="A172" s="43" t="s">
        <v>109</v>
      </c>
      <c r="B172" s="8">
        <f>IF(Number_of_Configured_ECC_variables&gt;0,(Sum_of_all_ECC_Variable_Values+Sum_of_all_ECC_Variable_Names)*Percentage_of_Consultative_Transfer_Calls*Calls_Per_Second*kbps*Bandwidth_Confidence_Factor_v91,0)</f>
        <v>35.405217391304348</v>
      </c>
      <c r="C172" s="6" t="s">
        <v>7</v>
      </c>
      <c r="D172" s="32">
        <f t="shared" si="4"/>
        <v>4.8139120732372202E-3</v>
      </c>
      <c r="G172" s="74"/>
      <c r="H172" s="74"/>
    </row>
    <row r="173" spans="1:8" ht="12" customHeight="1" x14ac:dyDescent="0.2">
      <c r="A173" s="43" t="s">
        <v>103</v>
      </c>
      <c r="B173" s="8">
        <f>IF(Number_of_Configured_Call_variables&gt;0,(Sum_of_all_Call_Variable_Values+Bytes_Per_Call_Variable_Value)*Percentage_of_Incoming_Straight_Calls*Calls_Per_Second*kbps*Bandwidth_Confidence_Factor_v91,0)</f>
        <v>4.6393043478260862</v>
      </c>
      <c r="C173" s="6" t="s">
        <v>7</v>
      </c>
      <c r="D173" s="32">
        <f t="shared" si="4"/>
        <v>6.3078847856211839E-4</v>
      </c>
      <c r="G173" s="74"/>
      <c r="H173" s="74"/>
    </row>
    <row r="174" spans="1:8" ht="12.75" customHeight="1" x14ac:dyDescent="0.2">
      <c r="A174" s="43" t="s">
        <v>104</v>
      </c>
      <c r="B174" s="8">
        <f>IF(Number_of_Configured_Call_variables&gt;0,(Sum_of_all_Call_Variable_Values+Bytes_Per_Call_Variable_Value)*Percentage_of_Outgoing_Straight_Calls*Calls_Per_Second*kbps*Bandwidth_Confidence_Factor_v91,0)</f>
        <v>4.6393043478260862</v>
      </c>
      <c r="C174" s="6" t="s">
        <v>7</v>
      </c>
      <c r="D174" s="32">
        <f t="shared" si="4"/>
        <v>6.3078847856211839E-4</v>
      </c>
      <c r="G174" s="74"/>
      <c r="H174" s="74"/>
    </row>
    <row r="175" spans="1:8" ht="12.75" customHeight="1" x14ac:dyDescent="0.2">
      <c r="A175" s="43" t="s">
        <v>105</v>
      </c>
      <c r="B175" s="8">
        <f>IF(Number_of_Configured_Call_variables&gt;0,(Sum_of_all_Call_Variable_Values+Bytes_Per_Call_Variable_Value)*Percentage_of_Consultative_Conference_Calls*Calls_Per_Second*kbps*Bandwidth_Confidence_Factor_v91,0)</f>
        <v>1.5464347826086957</v>
      </c>
      <c r="C175" s="6" t="s">
        <v>7</v>
      </c>
      <c r="D175" s="32">
        <f t="shared" si="4"/>
        <v>2.1026282618737284E-4</v>
      </c>
      <c r="G175" s="74"/>
      <c r="H175" s="74"/>
    </row>
    <row r="176" spans="1:8" ht="12.75" customHeight="1" x14ac:dyDescent="0.2">
      <c r="A176" s="43" t="s">
        <v>106</v>
      </c>
      <c r="B176" s="8">
        <f>IF(Number_of_Configured_Call_variables&gt;0,(Sum_of_all_Call_Variable_Values+Bytes_Per_Call_Variable_Value)*Percentage_of_Consultative_Transfer_Calls*Calls_Per_Second*kbps*Bandwidth_Confidence_Factor_v91,0)</f>
        <v>1.5464347826086957</v>
      </c>
      <c r="C176" s="6" t="s">
        <v>7</v>
      </c>
      <c r="D176" s="32">
        <f t="shared" si="4"/>
        <v>2.1026282618737284E-4</v>
      </c>
      <c r="G176" s="74"/>
      <c r="H176" s="74"/>
    </row>
    <row r="177" spans="1:8" ht="12.75" customHeight="1" x14ac:dyDescent="0.2">
      <c r="A177" s="43" t="s">
        <v>304</v>
      </c>
      <c r="B177" s="8">
        <f>('BW Data'!E52  + (((Number_of_Agents_Answers_Enabled/Number_of_Agents) + (Number_of_Agents_Transcript_Enabled/Number_of_Agents)) * 'BW Data'!E51  )) * Percentage_Calls_CCAI_Enabled*Calls_Per_Second*kbps*Bandwidth_Confidence_Factor_v9</f>
        <v>23.060869565217391</v>
      </c>
      <c r="C177" s="6" t="s">
        <v>7</v>
      </c>
      <c r="D177" s="32">
        <f t="shared" ref="D177" si="5">IF(B$137&gt;0,B177/B$137,0)</f>
        <v>1.0387330008159831E-3</v>
      </c>
      <c r="E177" s="74"/>
      <c r="G177" s="74"/>
      <c r="H177" s="74"/>
    </row>
    <row r="178" spans="1:8" ht="12.75" customHeight="1" x14ac:dyDescent="0.2">
      <c r="A178" s="203" t="s">
        <v>205</v>
      </c>
      <c r="B178" s="204">
        <f>((Tasks_Per_Second*Percentage_of_Incoming_Straight_Tasks) * 'BW Data'!F38) * kbps * Bandwidth_Confidence_Factor</f>
        <v>1.4929777777777778E-2</v>
      </c>
      <c r="C178" s="200" t="s">
        <v>7</v>
      </c>
      <c r="D178" s="205">
        <f>IF(B$137&gt;0,B178/B$137,0)</f>
        <v>6.7248343904679198E-7</v>
      </c>
      <c r="G178" s="74"/>
      <c r="H178" s="74"/>
    </row>
    <row r="179" spans="1:8" ht="12.75" customHeight="1" x14ac:dyDescent="0.2">
      <c r="A179" s="206" t="s">
        <v>206</v>
      </c>
      <c r="B179" s="207">
        <f>((Tasks_Per_Second*Percentage_of_Transferred_Tasks)*'BW Data'!F39*kbps*Bandwidth_Confidence_Factor)</f>
        <v>3.4725888888888889E-2</v>
      </c>
      <c r="C179" s="208" t="s">
        <v>7</v>
      </c>
      <c r="D179" s="209">
        <f>IF(B$137&gt;0,B179/B$137,0)</f>
        <v>1.564161605855643E-6</v>
      </c>
      <c r="G179" s="74"/>
      <c r="H179" s="74"/>
    </row>
    <row r="180" spans="1:8" ht="12.75" customHeight="1" x14ac:dyDescent="0.2">
      <c r="A180" s="203" t="s">
        <v>207</v>
      </c>
      <c r="B180" s="204">
        <f>((Tasks_Per_Second * Percentage_of_Interrupted_Tasks) * 'BW Data'!F42) * kbps * Bandwidth_Confidence_Factor</f>
        <v>5.1243111111111114E-2</v>
      </c>
      <c r="C180" s="200" t="s">
        <v>7</v>
      </c>
      <c r="D180" s="205">
        <f>IF(B$137&gt;0,B180/B$137,0)</f>
        <v>2.3081484601029408E-6</v>
      </c>
      <c r="G180" s="74"/>
      <c r="H180" s="74"/>
    </row>
    <row r="181" spans="1:8" ht="12.75" customHeight="1" x14ac:dyDescent="0.2">
      <c r="A181" s="203" t="s">
        <v>208</v>
      </c>
      <c r="B181" s="204">
        <f>(Tasks_Per_Second*Percentage_of_Paused_and_Resumed_Tasks)*('BW Data'!F40+'BW Data'!F41)*kbps*Bandwidth_Confidence_Factor</f>
        <v>1.7033466666666667E-2</v>
      </c>
      <c r="C181" s="200" t="s">
        <v>7</v>
      </c>
      <c r="D181" s="205">
        <f>IF(B$137&gt;0,B181/B$137,0)</f>
        <v>7.6724010319421347E-7</v>
      </c>
      <c r="G181" s="74"/>
      <c r="H181" s="74"/>
    </row>
    <row r="182" spans="1:8" ht="12.75" customHeight="1" thickBot="1" x14ac:dyDescent="0.25">
      <c r="A182" s="210" t="s">
        <v>211</v>
      </c>
      <c r="B182" s="204">
        <f>IF(Agent_Task_Wrap_Up_Time&gt;0,Tasks_Per_Second*'BW Data'!F43*kbps*Bandwidth_Confidence_Factor,0)</f>
        <v>0</v>
      </c>
      <c r="C182" s="211" t="s">
        <v>7</v>
      </c>
      <c r="D182" s="205">
        <f>IF(B$137&gt;0,B182/B$137,0)</f>
        <v>0</v>
      </c>
      <c r="G182" s="74"/>
      <c r="H182" s="74"/>
    </row>
    <row r="183" spans="1:8" ht="12.75" customHeight="1" thickBot="1" x14ac:dyDescent="0.25">
      <c r="A183" s="41" t="s">
        <v>61</v>
      </c>
      <c r="B183" s="39">
        <f>SUM(B163:B182)</f>
        <v>2433.4059322444441</v>
      </c>
      <c r="C183" s="40" t="s">
        <v>7</v>
      </c>
      <c r="D183" s="33">
        <f>IF(B$186&gt;0,B183/B$186,0)</f>
        <v>0.33086090298080345</v>
      </c>
      <c r="G183" s="74"/>
      <c r="H183" s="74"/>
    </row>
    <row r="184" spans="1:8" ht="12.75" customHeight="1" thickBot="1" x14ac:dyDescent="0.25">
      <c r="A184" s="41" t="s">
        <v>62</v>
      </c>
      <c r="B184" s="39">
        <f>SUM(B155:B161)</f>
        <v>3820.364336231884</v>
      </c>
      <c r="C184" s="40" t="s">
        <v>7</v>
      </c>
      <c r="D184" s="33">
        <f>IF(B$186&gt;0,B184/B$186,0)</f>
        <v>0.5194403355610645</v>
      </c>
      <c r="G184" s="74"/>
      <c r="H184" s="74"/>
    </row>
    <row r="185" spans="1:8" ht="14.1" customHeight="1" thickBot="1" x14ac:dyDescent="0.25">
      <c r="A185" s="262" t="s">
        <v>249</v>
      </c>
      <c r="B185" s="39">
        <f>(B148*B147)</f>
        <v>1101</v>
      </c>
      <c r="C185" s="40" t="s">
        <v>7</v>
      </c>
      <c r="D185" s="33">
        <v>0</v>
      </c>
      <c r="G185" s="74"/>
      <c r="H185" s="74"/>
    </row>
    <row r="186" spans="1:8" s="18" customFormat="1" ht="15.95" customHeight="1" thickBot="1" x14ac:dyDescent="0.3">
      <c r="A186" s="49" t="s">
        <v>63</v>
      </c>
      <c r="B186" s="50">
        <f>SUM(B183:B185)</f>
        <v>7354.7702684763281</v>
      </c>
      <c r="C186" s="51" t="s">
        <v>7</v>
      </c>
      <c r="D186" s="52">
        <f>SUM(D155:D176)</f>
        <v>0.84714970546013335</v>
      </c>
      <c r="G186" s="75"/>
      <c r="H186" s="75"/>
    </row>
    <row r="187" spans="1:8" ht="12.75" customHeight="1" thickBot="1" x14ac:dyDescent="0.25">
      <c r="A187" s="41" t="s">
        <v>297</v>
      </c>
      <c r="B187" s="39">
        <f>IF(Number_of_Agents&gt;0,SUM(MAX(B163, B169:B170, B173:B174), MAX(B165, B172, B176), MAX(B166, B171, B175), MAX(B167, B172, B176), MAX(B168), B177)/Calls_Per_Second,0)</f>
        <v>163.88840000000002</v>
      </c>
      <c r="C187" s="40" t="s">
        <v>7</v>
      </c>
      <c r="D187" s="33"/>
      <c r="G187" s="74"/>
      <c r="H187" s="74"/>
    </row>
    <row r="188" spans="1:8" ht="12.75" customHeight="1" thickBot="1" x14ac:dyDescent="0.25">
      <c r="A188" s="41" t="s">
        <v>298</v>
      </c>
      <c r="B188" s="39">
        <f>IF(Number_of_Supervisors&gt;0,SUM(B155:B157, SUM(MAX(B169:B176), MAX(B158:B168)))/Calls_Per_Second,0)</f>
        <v>318.19051911111109</v>
      </c>
      <c r="C188" s="40" t="s">
        <v>7</v>
      </c>
      <c r="D188" s="33"/>
      <c r="G188" s="74"/>
      <c r="H188" s="74"/>
    </row>
    <row r="189" spans="1:8" ht="12.75" customHeight="1" x14ac:dyDescent="0.2"/>
    <row r="190" spans="1:8" ht="12.75" customHeight="1" x14ac:dyDescent="0.2"/>
    <row r="191" spans="1:8" ht="12.75" customHeight="1" thickBot="1" x14ac:dyDescent="0.25">
      <c r="A191" s="316" t="s">
        <v>235</v>
      </c>
      <c r="B191" s="317"/>
      <c r="C191" s="317"/>
      <c r="D191" s="318"/>
    </row>
    <row r="192" spans="1:8" ht="12.75" customHeight="1" thickBot="1" x14ac:dyDescent="0.25">
      <c r="A192" s="240" t="s">
        <v>222</v>
      </c>
      <c r="B192" s="241">
        <v>5</v>
      </c>
      <c r="C192" s="242" t="s">
        <v>223</v>
      </c>
      <c r="D192" s="243"/>
    </row>
    <row r="193" spans="1:4" ht="12.75" customHeight="1" thickBot="1" x14ac:dyDescent="0.25">
      <c r="A193" s="240" t="s">
        <v>224</v>
      </c>
      <c r="B193" s="241">
        <v>3</v>
      </c>
      <c r="C193" s="242" t="s">
        <v>225</v>
      </c>
      <c r="D193" s="243"/>
    </row>
    <row r="194" spans="1:4" ht="12.75" customHeight="1" thickBot="1" x14ac:dyDescent="0.25">
      <c r="A194" s="240" t="s">
        <v>226</v>
      </c>
      <c r="B194" s="241">
        <v>100</v>
      </c>
      <c r="C194" s="242"/>
      <c r="D194" s="243"/>
    </row>
    <row r="195" spans="1:4" ht="12.75" customHeight="1" thickBot="1" x14ac:dyDescent="0.25">
      <c r="A195" s="240" t="s">
        <v>227</v>
      </c>
      <c r="B195" s="241">
        <v>50</v>
      </c>
      <c r="C195" s="242"/>
      <c r="D195" s="243"/>
    </row>
    <row r="196" spans="1:4" ht="12.75" customHeight="1" thickBot="1" x14ac:dyDescent="0.25">
      <c r="A196" s="240" t="s">
        <v>228</v>
      </c>
      <c r="B196" s="241">
        <v>0</v>
      </c>
      <c r="C196" s="242" t="s">
        <v>229</v>
      </c>
      <c r="D196" s="243"/>
    </row>
    <row r="197" spans="1:4" ht="12.75" customHeight="1" thickBot="1" x14ac:dyDescent="0.25">
      <c r="A197" s="240" t="s">
        <v>230</v>
      </c>
      <c r="B197" s="241">
        <v>2</v>
      </c>
      <c r="C197" s="244"/>
      <c r="D197" s="243"/>
    </row>
    <row r="198" spans="1:4" ht="44.1" customHeight="1" thickBot="1" x14ac:dyDescent="0.25">
      <c r="A198" s="240" t="s">
        <v>231</v>
      </c>
      <c r="B198" s="241">
        <v>1</v>
      </c>
      <c r="C198" s="244" t="s">
        <v>117</v>
      </c>
      <c r="D198" s="245" t="s">
        <v>234</v>
      </c>
    </row>
    <row r="199" spans="1:4" ht="12.75" customHeight="1" thickBot="1" x14ac:dyDescent="0.25">
      <c r="A199" s="240" t="s">
        <v>232</v>
      </c>
      <c r="B199" s="241">
        <v>1983</v>
      </c>
      <c r="C199" s="244" t="s">
        <v>125</v>
      </c>
      <c r="D199" s="243"/>
    </row>
    <row r="200" spans="1:4" ht="12.75" customHeight="1" thickBot="1" x14ac:dyDescent="0.25">
      <c r="A200" s="240" t="s">
        <v>233</v>
      </c>
      <c r="B200" s="241">
        <v>1000</v>
      </c>
      <c r="C200" s="242"/>
      <c r="D200" s="243"/>
    </row>
    <row r="201" spans="1:4" ht="12.75" customHeight="1" thickBot="1" x14ac:dyDescent="0.25"/>
    <row r="202" spans="1:4" ht="18.600000000000001" customHeight="1" thickBot="1" x14ac:dyDescent="0.3">
      <c r="A202" s="253" t="s">
        <v>239</v>
      </c>
      <c r="B202" s="253"/>
      <c r="C202" s="253"/>
      <c r="D202" s="254"/>
    </row>
    <row r="203" spans="1:4" ht="12.75" customHeight="1" thickBot="1" x14ac:dyDescent="0.25">
      <c r="A203" s="329" t="s">
        <v>81</v>
      </c>
      <c r="B203" s="330"/>
      <c r="C203" s="330"/>
      <c r="D203" s="331"/>
    </row>
    <row r="204" spans="1:4" ht="12.75" hidden="1" customHeight="1" thickBot="1" x14ac:dyDescent="0.25">
      <c r="A204" s="246" t="s">
        <v>236</v>
      </c>
      <c r="B204" s="246">
        <f>((((B192/60*60)* B200* 'BW Data'!E32) +
 (((B193/60)*B194)*B200* 'BW Data'!E33) +
 ((B195*(B197/(60*60))) *B200* 'BW Data'!E34) +
 ((B196/60*60) *B200* (('BW Data'!E35))))/1024) * 'BW Data'!E63+B206</f>
        <v>56378.452175564234</v>
      </c>
      <c r="C204" s="242" t="s">
        <v>7</v>
      </c>
      <c r="D204" s="242"/>
    </row>
    <row r="205" spans="1:4" ht="12.75" customHeight="1" thickBot="1" x14ac:dyDescent="0.25">
      <c r="A205" s="246" t="s">
        <v>237</v>
      </c>
      <c r="B205" s="246">
        <f>(B204*(0.02)+B204)</f>
        <v>57506.021219075519</v>
      </c>
      <c r="C205" s="242" t="s">
        <v>7</v>
      </c>
      <c r="D205" s="242"/>
    </row>
    <row r="206" spans="1:4" ht="12.75" customHeight="1" thickBot="1" x14ac:dyDescent="0.25">
      <c r="A206" s="247" t="s">
        <v>238</v>
      </c>
      <c r="B206" s="247">
        <f>(1280/(1024*30))</f>
        <v>4.1666666666666664E-2</v>
      </c>
      <c r="C206" s="252" t="s">
        <v>7</v>
      </c>
      <c r="D206" s="248"/>
    </row>
    <row r="207" spans="1:4" ht="16.5" customHeight="1" thickBot="1" x14ac:dyDescent="0.3">
      <c r="A207" s="249" t="s">
        <v>63</v>
      </c>
      <c r="B207" s="250">
        <f>B205</f>
        <v>57506.021219075519</v>
      </c>
      <c r="C207" s="252" t="s">
        <v>7</v>
      </c>
      <c r="D207" s="248"/>
    </row>
    <row r="208" spans="1:4" ht="12.75" customHeight="1" thickBot="1" x14ac:dyDescent="0.25">
      <c r="A208" s="247" t="s">
        <v>93</v>
      </c>
      <c r="B208" s="251">
        <f>IF(B200&gt;0,B207/B200,0)</f>
        <v>57.506021219075521</v>
      </c>
      <c r="C208" s="248" t="s">
        <v>7</v>
      </c>
      <c r="D208" s="248"/>
    </row>
    <row r="209" spans="1:4" ht="12.75" customHeight="1" x14ac:dyDescent="0.2"/>
    <row r="210" spans="1:4" ht="33" customHeight="1" x14ac:dyDescent="0.2">
      <c r="A210" s="336" t="s">
        <v>253</v>
      </c>
      <c r="B210" s="337"/>
      <c r="C210" s="337"/>
      <c r="D210" s="338"/>
    </row>
    <row r="211" spans="1:4" ht="15.6" customHeight="1" x14ac:dyDescent="0.25">
      <c r="A211" s="264" t="s">
        <v>252</v>
      </c>
    </row>
    <row r="212" spans="1:4" ht="12.75" customHeight="1" x14ac:dyDescent="0.2"/>
    <row r="213" spans="1:4" ht="57.95" customHeight="1" x14ac:dyDescent="0.2">
      <c r="A213" s="332" t="s">
        <v>256</v>
      </c>
      <c r="B213" s="333"/>
      <c r="C213" s="334"/>
      <c r="D213" s="335"/>
    </row>
    <row r="214" spans="1:4" ht="12.75" customHeight="1" x14ac:dyDescent="0.2">
      <c r="A214" s="325"/>
      <c r="B214" s="325"/>
      <c r="C214" s="302"/>
      <c r="D214" s="302"/>
    </row>
  </sheetData>
  <autoFilter ref="A7:D63" xr:uid="{A6D9E83B-47C7-3E43-88B4-DC2F2FB46822}"/>
  <mergeCells count="28">
    <mergeCell ref="A107:D107"/>
    <mergeCell ref="A46:D46"/>
    <mergeCell ref="A114:D114"/>
    <mergeCell ref="A214:B214"/>
    <mergeCell ref="C214:D214"/>
    <mergeCell ref="A153:D153"/>
    <mergeCell ref="A154:D154"/>
    <mergeCell ref="A162:D162"/>
    <mergeCell ref="A191:D191"/>
    <mergeCell ref="A203:D203"/>
    <mergeCell ref="A213:D213"/>
    <mergeCell ref="A210:D210"/>
    <mergeCell ref="A146:D146"/>
    <mergeCell ref="A106:D106"/>
    <mergeCell ref="A8:D8"/>
    <mergeCell ref="A19:D19"/>
    <mergeCell ref="A29:D29"/>
    <mergeCell ref="D30:D31"/>
    <mergeCell ref="D32:D33"/>
    <mergeCell ref="A24:D24"/>
    <mergeCell ref="D41:D42"/>
    <mergeCell ref="A66:D66"/>
    <mergeCell ref="A99:D99"/>
    <mergeCell ref="A40:D40"/>
    <mergeCell ref="A49:D49"/>
    <mergeCell ref="A52:D52"/>
    <mergeCell ref="A57:D57"/>
    <mergeCell ref="A61:D61"/>
  </mergeCells>
  <conditionalFormatting sqref="B36">
    <cfRule type="cellIs" dxfId="3" priority="3" stopIfTrue="1" operator="equal">
      <formula>1</formula>
    </cfRule>
    <cfRule type="cellIs" dxfId="2" priority="4" stopIfTrue="1" operator="notEqual">
      <formula>1</formula>
    </cfRule>
  </conditionalFormatting>
  <conditionalFormatting sqref="B45">
    <cfRule type="cellIs" dxfId="1" priority="1" stopIfTrue="1" operator="equal">
      <formula>1</formula>
    </cfRule>
    <cfRule type="cellIs" dxfId="0" priority="2" stopIfTrue="1" operator="notEqual">
      <formula>1</formula>
    </cfRule>
  </conditionalFormatting>
  <hyperlinks>
    <hyperlink ref="A211" r:id="rId1" location="reference_CFFA527AF8FC70C96190C86F40C5CB97" xr:uid="{F5B77FB3-1828-45F5-BD25-651E4B3B0969}"/>
    <hyperlink ref="F19" r:id="rId2" display="1*@kbps" xr:uid="{114AC5EB-31D9-6840-8DC3-B5FC18785695}"/>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J84"/>
  <sheetViews>
    <sheetView topLeftCell="A78" zoomScale="188" zoomScaleNormal="84" zoomScalePageLayoutView="130" workbookViewId="0">
      <selection activeCell="A58" sqref="A58"/>
    </sheetView>
  </sheetViews>
  <sheetFormatPr defaultColWidth="8.85546875" defaultRowHeight="12.75" x14ac:dyDescent="0.2"/>
  <cols>
    <col min="1" max="1" width="58.140625" customWidth="1"/>
    <col min="2" max="4" width="18.7109375" hidden="1" customWidth="1"/>
    <col min="5" max="6" width="18.7109375" customWidth="1"/>
    <col min="7" max="7" width="10.85546875" customWidth="1"/>
    <col min="8" max="8" width="12.85546875" customWidth="1"/>
    <col min="9" max="9" width="12.42578125" customWidth="1"/>
  </cols>
  <sheetData>
    <row r="1" spans="1:10" ht="13.5" thickBot="1" x14ac:dyDescent="0.25">
      <c r="A1" s="1"/>
    </row>
    <row r="2" spans="1:10" x14ac:dyDescent="0.2">
      <c r="A2" s="345" t="s">
        <v>89</v>
      </c>
      <c r="B2" s="116"/>
      <c r="C2" s="116"/>
      <c r="D2" s="116"/>
      <c r="E2" s="116"/>
      <c r="F2" s="116"/>
      <c r="G2" s="116"/>
      <c r="H2" s="116"/>
      <c r="I2" s="117"/>
    </row>
    <row r="3" spans="1:10" ht="38.25" x14ac:dyDescent="0.2">
      <c r="A3" s="346"/>
      <c r="B3" s="73" t="s">
        <v>129</v>
      </c>
      <c r="C3" s="73" t="s">
        <v>130</v>
      </c>
      <c r="D3" s="73" t="s">
        <v>131</v>
      </c>
      <c r="E3" s="73" t="s">
        <v>294</v>
      </c>
      <c r="F3" s="73" t="s">
        <v>295</v>
      </c>
      <c r="G3" s="73" t="s">
        <v>296</v>
      </c>
      <c r="H3" s="73" t="s">
        <v>285</v>
      </c>
      <c r="I3" s="118" t="s">
        <v>11</v>
      </c>
    </row>
    <row r="4" spans="1:10" x14ac:dyDescent="0.2">
      <c r="A4" s="119" t="s">
        <v>116</v>
      </c>
      <c r="B4" s="115"/>
      <c r="C4" s="130"/>
      <c r="D4" s="130"/>
      <c r="E4" s="130"/>
      <c r="F4" s="130"/>
      <c r="G4" s="130"/>
      <c r="H4" s="130"/>
      <c r="I4" s="230"/>
    </row>
    <row r="5" spans="1:10" x14ac:dyDescent="0.2">
      <c r="A5" s="122" t="s">
        <v>156</v>
      </c>
      <c r="B5" s="225">
        <f>2.8 *1024 * 1024</f>
        <v>2936012.7999999998</v>
      </c>
      <c r="C5" s="226"/>
      <c r="D5" s="227">
        <f>1680+1380</f>
        <v>3060</v>
      </c>
      <c r="E5" s="265">
        <f>(1024*(1172+2157))</f>
        <v>3408896</v>
      </c>
      <c r="F5" s="265">
        <f>(2568+2220)</f>
        <v>4788</v>
      </c>
      <c r="G5" s="231" t="s">
        <v>140</v>
      </c>
      <c r="H5" s="231" t="s">
        <v>140</v>
      </c>
      <c r="I5" s="159" t="s">
        <v>125</v>
      </c>
      <c r="J5" s="4"/>
    </row>
    <row r="6" spans="1:10" x14ac:dyDescent="0.2">
      <c r="A6" s="122" t="s">
        <v>157</v>
      </c>
      <c r="B6" s="225">
        <f>0.8 *1024 * 1024</f>
        <v>838860.80000000005</v>
      </c>
      <c r="C6" s="226"/>
      <c r="D6" s="227" t="s">
        <v>140</v>
      </c>
      <c r="E6" s="266">
        <f>(1024*(127+54))</f>
        <v>185344</v>
      </c>
      <c r="F6" s="266">
        <f>(2364+1554)</f>
        <v>3918</v>
      </c>
      <c r="G6" s="156" t="s">
        <v>140</v>
      </c>
      <c r="H6" s="156" t="s">
        <v>140</v>
      </c>
      <c r="I6" s="167" t="s">
        <v>125</v>
      </c>
      <c r="J6" s="4"/>
    </row>
    <row r="7" spans="1:10" x14ac:dyDescent="0.2">
      <c r="A7" s="122" t="s">
        <v>158</v>
      </c>
      <c r="B7" s="225">
        <f>5.2 *1024 * 1024</f>
        <v>5452595.2000000002</v>
      </c>
      <c r="C7" s="226"/>
      <c r="D7" s="226">
        <f>1338+802</f>
        <v>2140</v>
      </c>
      <c r="E7" s="266">
        <f>(1024*(1302 + 2157))</f>
        <v>3542016</v>
      </c>
      <c r="F7" s="266">
        <f>(3299+4884)</f>
        <v>8183</v>
      </c>
      <c r="G7" s="156" t="s">
        <v>140</v>
      </c>
      <c r="H7" s="156" t="s">
        <v>140</v>
      </c>
      <c r="I7" s="167" t="s">
        <v>125</v>
      </c>
      <c r="J7" s="4"/>
    </row>
    <row r="8" spans="1:10" x14ac:dyDescent="0.2">
      <c r="A8" s="122" t="s">
        <v>159</v>
      </c>
      <c r="B8" s="225">
        <f>2.8 *1024 * 1024</f>
        <v>2936012.7999999998</v>
      </c>
      <c r="C8" s="226"/>
      <c r="D8" s="227" t="s">
        <v>140</v>
      </c>
      <c r="E8" s="266">
        <f>(1024*(114+53))</f>
        <v>171008</v>
      </c>
      <c r="F8" s="266">
        <f>(2477 + 2442)</f>
        <v>4919</v>
      </c>
      <c r="G8" s="156" t="s">
        <v>140</v>
      </c>
      <c r="H8" s="156" t="s">
        <v>140</v>
      </c>
      <c r="I8" s="167" t="s">
        <v>125</v>
      </c>
      <c r="J8" s="4"/>
    </row>
    <row r="9" spans="1:10" x14ac:dyDescent="0.2">
      <c r="A9" s="212" t="s">
        <v>160</v>
      </c>
      <c r="B9" s="72">
        <f>2.8 *1024 * 1024</f>
        <v>2936012.7999999998</v>
      </c>
      <c r="C9" s="144"/>
      <c r="D9" s="137">
        <f>1680+1380</f>
        <v>3060</v>
      </c>
      <c r="E9" s="266">
        <f>(1024*(1196+1860))</f>
        <v>3129344</v>
      </c>
      <c r="F9" s="266">
        <f>(1242 + 5106)</f>
        <v>6348</v>
      </c>
      <c r="G9" s="158" t="s">
        <v>140</v>
      </c>
      <c r="H9" s="158" t="s">
        <v>140</v>
      </c>
      <c r="I9" s="167" t="s">
        <v>125</v>
      </c>
      <c r="J9" s="4"/>
    </row>
    <row r="10" spans="1:10" x14ac:dyDescent="0.2">
      <c r="A10" s="213" t="s">
        <v>161</v>
      </c>
      <c r="B10" s="72">
        <f>0.8 *1024 * 1024</f>
        <v>838860.80000000005</v>
      </c>
      <c r="C10" s="144"/>
      <c r="D10" s="137" t="s">
        <v>140</v>
      </c>
      <c r="E10" s="266">
        <f>(1024*(149 + 8))</f>
        <v>160768</v>
      </c>
      <c r="F10" s="266">
        <f>(552 + 2220)</f>
        <v>2772</v>
      </c>
      <c r="G10" s="158" t="s">
        <v>140</v>
      </c>
      <c r="H10" s="158" t="s">
        <v>140</v>
      </c>
      <c r="I10" s="167" t="s">
        <v>125</v>
      </c>
      <c r="J10" s="4"/>
    </row>
    <row r="11" spans="1:10" x14ac:dyDescent="0.2">
      <c r="A11" s="212" t="s">
        <v>162</v>
      </c>
      <c r="B11" s="72">
        <f>5.2 *1024 * 1024</f>
        <v>5452595.2000000002</v>
      </c>
      <c r="C11" s="144"/>
      <c r="D11" s="131">
        <f>1338+802</f>
        <v>2140</v>
      </c>
      <c r="E11" s="237">
        <f>(1024*(1222 +2161))</f>
        <v>3464192</v>
      </c>
      <c r="F11" s="266">
        <f>(3552 + 690)</f>
        <v>4242</v>
      </c>
      <c r="G11" s="158" t="s">
        <v>140</v>
      </c>
      <c r="H11" s="158" t="s">
        <v>140</v>
      </c>
      <c r="I11" s="167" t="s">
        <v>125</v>
      </c>
      <c r="J11" s="4"/>
    </row>
    <row r="12" spans="1:10" x14ac:dyDescent="0.2">
      <c r="A12" s="214" t="s">
        <v>163</v>
      </c>
      <c r="B12" s="178">
        <f>2.8 *1024 * 1024</f>
        <v>2936012.7999999998</v>
      </c>
      <c r="C12" s="179"/>
      <c r="D12" s="180" t="s">
        <v>140</v>
      </c>
      <c r="E12" s="267">
        <f>(1024*(163 + 8))</f>
        <v>175104</v>
      </c>
      <c r="F12" s="266">
        <f>(552 + 1998)</f>
        <v>2550</v>
      </c>
      <c r="G12" s="181" t="s">
        <v>140</v>
      </c>
      <c r="H12" s="181" t="s">
        <v>140</v>
      </c>
      <c r="I12" s="182" t="s">
        <v>125</v>
      </c>
      <c r="J12" s="4"/>
    </row>
    <row r="13" spans="1:10" x14ac:dyDescent="0.2">
      <c r="A13" s="215" t="s">
        <v>212</v>
      </c>
      <c r="B13" s="5"/>
      <c r="C13" s="148"/>
      <c r="D13" s="136"/>
      <c r="E13" s="183">
        <v>3214</v>
      </c>
      <c r="F13" s="156">
        <v>885</v>
      </c>
      <c r="G13" s="184" t="s">
        <v>140</v>
      </c>
      <c r="H13" s="184" t="s">
        <v>140</v>
      </c>
      <c r="I13" s="184" t="s">
        <v>125</v>
      </c>
    </row>
    <row r="14" spans="1:10" x14ac:dyDescent="0.2">
      <c r="A14" s="215" t="s">
        <v>213</v>
      </c>
      <c r="B14" s="5"/>
      <c r="C14" s="148"/>
      <c r="D14" s="136"/>
      <c r="E14" s="183">
        <v>3160</v>
      </c>
      <c r="F14" s="156">
        <v>885</v>
      </c>
      <c r="G14" s="184" t="s">
        <v>140</v>
      </c>
      <c r="H14" s="184" t="s">
        <v>140</v>
      </c>
      <c r="I14" s="184" t="s">
        <v>125</v>
      </c>
    </row>
    <row r="15" spans="1:10" x14ac:dyDescent="0.2">
      <c r="A15" s="215" t="s">
        <v>214</v>
      </c>
      <c r="B15" s="5"/>
      <c r="C15" s="148"/>
      <c r="D15" s="136"/>
      <c r="E15" s="183">
        <v>6191</v>
      </c>
      <c r="F15" s="156">
        <v>568</v>
      </c>
      <c r="G15" s="184" t="s">
        <v>140</v>
      </c>
      <c r="H15" s="184" t="s">
        <v>140</v>
      </c>
      <c r="I15" s="184" t="s">
        <v>125</v>
      </c>
    </row>
    <row r="16" spans="1:10" x14ac:dyDescent="0.2">
      <c r="A16" s="215" t="s">
        <v>215</v>
      </c>
      <c r="B16" s="5"/>
      <c r="C16" s="148"/>
      <c r="D16" s="136"/>
      <c r="E16" s="183">
        <v>3200</v>
      </c>
      <c r="F16" s="156">
        <v>568</v>
      </c>
      <c r="G16" s="184" t="s">
        <v>140</v>
      </c>
      <c r="H16" s="184" t="s">
        <v>140</v>
      </c>
      <c r="I16" s="184" t="s">
        <v>125</v>
      </c>
    </row>
    <row r="17" spans="1:9" x14ac:dyDescent="0.2">
      <c r="A17" s="349" t="s">
        <v>88</v>
      </c>
      <c r="B17" s="350"/>
      <c r="C17" s="145"/>
      <c r="D17" s="132"/>
      <c r="E17" s="132"/>
      <c r="F17" s="164"/>
      <c r="G17" s="164"/>
      <c r="H17" s="164"/>
      <c r="I17" s="168"/>
    </row>
    <row r="18" spans="1:9" x14ac:dyDescent="0.2">
      <c r="A18" s="121" t="s">
        <v>127</v>
      </c>
      <c r="B18" s="72">
        <v>1275</v>
      </c>
      <c r="C18" s="144"/>
      <c r="D18" s="137" t="s">
        <v>140</v>
      </c>
      <c r="E18" s="153"/>
      <c r="F18" s="158" t="s">
        <v>140</v>
      </c>
      <c r="G18" s="158" t="s">
        <v>140</v>
      </c>
      <c r="H18" s="158" t="s">
        <v>140</v>
      </c>
      <c r="I18" s="167" t="s">
        <v>125</v>
      </c>
    </row>
    <row r="19" spans="1:9" x14ac:dyDescent="0.2">
      <c r="A19" s="120" t="s">
        <v>90</v>
      </c>
      <c r="B19" s="5">
        <v>790</v>
      </c>
      <c r="C19" s="144"/>
      <c r="D19" s="131">
        <v>737</v>
      </c>
      <c r="E19" s="154">
        <v>1536</v>
      </c>
      <c r="F19" s="160">
        <v>717</v>
      </c>
      <c r="G19" s="158" t="s">
        <v>140</v>
      </c>
      <c r="H19" s="158" t="s">
        <v>140</v>
      </c>
      <c r="I19" s="167" t="s">
        <v>125</v>
      </c>
    </row>
    <row r="20" spans="1:9" x14ac:dyDescent="0.2">
      <c r="A20" s="349" t="s">
        <v>291</v>
      </c>
      <c r="B20" s="350"/>
      <c r="C20" s="145"/>
      <c r="D20" s="132"/>
      <c r="E20" s="132"/>
      <c r="F20" s="164"/>
      <c r="G20" s="164"/>
      <c r="H20" s="164"/>
      <c r="I20" s="168"/>
    </row>
    <row r="21" spans="1:9" x14ac:dyDescent="0.2">
      <c r="A21" s="288" t="s">
        <v>287</v>
      </c>
      <c r="B21" s="281">
        <v>1275</v>
      </c>
      <c r="C21" s="144"/>
      <c r="D21" s="137" t="s">
        <v>140</v>
      </c>
      <c r="E21" s="153">
        <f>229700+78290+2350+1140</f>
        <v>311480</v>
      </c>
      <c r="F21" s="158" t="s">
        <v>140</v>
      </c>
      <c r="G21" s="158" t="s">
        <v>140</v>
      </c>
      <c r="H21" s="158">
        <f>534350+839</f>
        <v>535189</v>
      </c>
      <c r="I21" s="167" t="s">
        <v>125</v>
      </c>
    </row>
    <row r="22" spans="1:9" x14ac:dyDescent="0.2">
      <c r="A22" s="288" t="s">
        <v>286</v>
      </c>
      <c r="B22" s="281">
        <v>1275</v>
      </c>
      <c r="C22" s="144"/>
      <c r="D22" s="137" t="s">
        <v>140</v>
      </c>
      <c r="E22" s="158" t="s">
        <v>140</v>
      </c>
      <c r="F22" s="158" t="s">
        <v>140</v>
      </c>
      <c r="G22" s="158" t="s">
        <v>140</v>
      </c>
      <c r="H22" s="285">
        <f>((508 * 2 )+ 966 + 30300) / 60</f>
        <v>538.0333333333333</v>
      </c>
      <c r="I22" s="167" t="s">
        <v>125</v>
      </c>
    </row>
    <row r="23" spans="1:9" x14ac:dyDescent="0.2">
      <c r="A23" s="120" t="s">
        <v>306</v>
      </c>
      <c r="B23" s="282">
        <v>790</v>
      </c>
      <c r="C23" s="144"/>
      <c r="D23" s="131">
        <v>737</v>
      </c>
      <c r="E23" s="158" t="s">
        <v>140</v>
      </c>
      <c r="F23" s="160" t="s">
        <v>140</v>
      </c>
      <c r="G23" s="158" t="s">
        <v>140</v>
      </c>
      <c r="H23" s="285">
        <f>(966 + 30500) / 60</f>
        <v>524.43333333333328</v>
      </c>
      <c r="I23" s="167" t="s">
        <v>125</v>
      </c>
    </row>
    <row r="24" spans="1:9" x14ac:dyDescent="0.2">
      <c r="A24" s="347" t="s">
        <v>14</v>
      </c>
      <c r="B24" s="348"/>
      <c r="C24" s="146"/>
      <c r="D24" s="133"/>
      <c r="E24" s="133"/>
      <c r="F24" s="165"/>
      <c r="G24" s="165"/>
      <c r="H24" s="165"/>
      <c r="I24" s="168"/>
    </row>
    <row r="25" spans="1:9" x14ac:dyDescent="0.2">
      <c r="A25" s="122" t="s">
        <v>15</v>
      </c>
      <c r="B25" s="5">
        <v>25020</v>
      </c>
      <c r="C25" s="144"/>
      <c r="D25" s="131">
        <v>3259</v>
      </c>
      <c r="E25" s="237">
        <f>(1024*29)</f>
        <v>29696</v>
      </c>
      <c r="F25" s="266">
        <f>(414+7333)</f>
        <v>7747</v>
      </c>
      <c r="G25" s="158" t="s">
        <v>140</v>
      </c>
      <c r="H25" s="158" t="s">
        <v>140</v>
      </c>
      <c r="I25" s="167" t="s">
        <v>125</v>
      </c>
    </row>
    <row r="26" spans="1:9" x14ac:dyDescent="0.2">
      <c r="A26" s="122" t="s">
        <v>16</v>
      </c>
      <c r="B26" s="5">
        <v>38785</v>
      </c>
      <c r="C26" s="144"/>
      <c r="D26" s="131">
        <v>3387</v>
      </c>
      <c r="E26" s="237">
        <f>(1024*47)</f>
        <v>48128</v>
      </c>
      <c r="F26" s="266">
        <f>(8862+414)</f>
        <v>9276</v>
      </c>
      <c r="G26" s="158" t="s">
        <v>140</v>
      </c>
      <c r="H26" s="158" t="s">
        <v>140</v>
      </c>
      <c r="I26" s="167" t="s">
        <v>125</v>
      </c>
    </row>
    <row r="27" spans="1:9" x14ac:dyDescent="0.2">
      <c r="A27" s="122" t="s">
        <v>17</v>
      </c>
      <c r="B27" s="5">
        <v>64177</v>
      </c>
      <c r="C27" s="144"/>
      <c r="D27" s="131">
        <v>5606</v>
      </c>
      <c r="E27" s="237">
        <f>(1024*180)</f>
        <v>184320</v>
      </c>
      <c r="F27" s="266">
        <f>(1024*13)+828</f>
        <v>14140</v>
      </c>
      <c r="G27" s="158" t="s">
        <v>140</v>
      </c>
      <c r="H27" s="158" t="s">
        <v>140</v>
      </c>
      <c r="I27" s="167" t="s">
        <v>125</v>
      </c>
    </row>
    <row r="28" spans="1:9" x14ac:dyDescent="0.2">
      <c r="A28" s="122" t="s">
        <v>18</v>
      </c>
      <c r="B28" s="5">
        <v>79757</v>
      </c>
      <c r="C28" s="144"/>
      <c r="D28" s="131">
        <v>6236</v>
      </c>
      <c r="E28" s="237">
        <f>(1024*97)</f>
        <v>99328</v>
      </c>
      <c r="F28" s="266">
        <f>(1024*13)+690</f>
        <v>14002</v>
      </c>
      <c r="G28" s="158" t="s">
        <v>140</v>
      </c>
      <c r="H28" s="158" t="s">
        <v>140</v>
      </c>
      <c r="I28" s="167" t="s">
        <v>125</v>
      </c>
    </row>
    <row r="29" spans="1:9" x14ac:dyDescent="0.2">
      <c r="A29" s="120" t="s">
        <v>132</v>
      </c>
      <c r="B29" s="5"/>
      <c r="C29" s="144"/>
      <c r="D29" s="131">
        <v>6601</v>
      </c>
      <c r="E29" s="237">
        <f>(1024*80)</f>
        <v>81920</v>
      </c>
      <c r="F29" s="266">
        <f>(1024*12)+414</f>
        <v>12702</v>
      </c>
      <c r="G29" s="158" t="s">
        <v>140</v>
      </c>
      <c r="H29" s="158" t="s">
        <v>140</v>
      </c>
      <c r="I29" s="167" t="s">
        <v>125</v>
      </c>
    </row>
    <row r="30" spans="1:9" x14ac:dyDescent="0.2">
      <c r="A30" s="120" t="s">
        <v>91</v>
      </c>
      <c r="B30" s="5">
        <v>17213</v>
      </c>
      <c r="C30" s="144"/>
      <c r="D30" s="131">
        <v>455</v>
      </c>
      <c r="E30" s="157">
        <f>(1024*50)</f>
        <v>51200</v>
      </c>
      <c r="F30" s="156">
        <f>(4713+414)</f>
        <v>5127</v>
      </c>
      <c r="G30" s="160" t="s">
        <v>140</v>
      </c>
      <c r="H30" s="160" t="s">
        <v>140</v>
      </c>
      <c r="I30" s="167" t="s">
        <v>125</v>
      </c>
    </row>
    <row r="31" spans="1:9" x14ac:dyDescent="0.2">
      <c r="A31" s="347" t="s">
        <v>216</v>
      </c>
      <c r="B31" s="348"/>
      <c r="C31" s="146"/>
      <c r="D31" s="133"/>
      <c r="E31" s="133"/>
      <c r="F31" s="133"/>
      <c r="G31" s="133"/>
      <c r="H31" s="133"/>
      <c r="I31" s="236"/>
    </row>
    <row r="32" spans="1:9" x14ac:dyDescent="0.2">
      <c r="A32" s="120" t="s">
        <v>217</v>
      </c>
      <c r="B32" s="5">
        <v>25020</v>
      </c>
      <c r="C32" s="144"/>
      <c r="D32" s="131">
        <v>3259</v>
      </c>
      <c r="E32" s="237">
        <v>5993</v>
      </c>
      <c r="F32" s="237" t="s">
        <v>218</v>
      </c>
      <c r="G32" s="237" t="s">
        <v>218</v>
      </c>
      <c r="H32" s="237" t="s">
        <v>218</v>
      </c>
      <c r="I32" s="167" t="s">
        <v>125</v>
      </c>
    </row>
    <row r="33" spans="1:9" x14ac:dyDescent="0.2">
      <c r="A33" s="120" t="s">
        <v>219</v>
      </c>
      <c r="B33" s="5">
        <v>25020</v>
      </c>
      <c r="C33" s="144"/>
      <c r="D33" s="131">
        <v>3259</v>
      </c>
      <c r="E33" s="237">
        <v>2882</v>
      </c>
      <c r="F33" s="237" t="s">
        <v>218</v>
      </c>
      <c r="G33" s="237" t="s">
        <v>218</v>
      </c>
      <c r="H33" s="237" t="s">
        <v>218</v>
      </c>
      <c r="I33" s="167" t="s">
        <v>125</v>
      </c>
    </row>
    <row r="34" spans="1:9" x14ac:dyDescent="0.2">
      <c r="A34" s="120" t="s">
        <v>220</v>
      </c>
      <c r="B34" s="5">
        <v>25020</v>
      </c>
      <c r="C34" s="144"/>
      <c r="D34" s="131">
        <v>3259</v>
      </c>
      <c r="E34" s="237">
        <f>(4873/4)</f>
        <v>1218.25</v>
      </c>
      <c r="F34" s="237" t="s">
        <v>218</v>
      </c>
      <c r="G34" s="237" t="s">
        <v>218</v>
      </c>
      <c r="H34" s="237" t="s">
        <v>218</v>
      </c>
      <c r="I34" s="167" t="s">
        <v>125</v>
      </c>
    </row>
    <row r="35" spans="1:9" x14ac:dyDescent="0.2">
      <c r="A35" s="120" t="s">
        <v>221</v>
      </c>
      <c r="B35" s="5">
        <v>25020</v>
      </c>
      <c r="C35" s="144"/>
      <c r="D35" s="131">
        <v>3259</v>
      </c>
      <c r="E35" s="237">
        <f>((1837*1024)/25)</f>
        <v>75243.520000000004</v>
      </c>
      <c r="F35" s="237" t="s">
        <v>218</v>
      </c>
      <c r="G35" s="237" t="s">
        <v>218</v>
      </c>
      <c r="H35" s="237" t="s">
        <v>218</v>
      </c>
      <c r="I35" s="167" t="s">
        <v>125</v>
      </c>
    </row>
    <row r="36" spans="1:9" x14ac:dyDescent="0.2">
      <c r="A36" s="232"/>
      <c r="B36" s="233"/>
      <c r="C36" s="234"/>
      <c r="D36" s="235"/>
      <c r="E36" s="238"/>
      <c r="F36" s="238"/>
      <c r="G36" s="238"/>
      <c r="H36" s="238"/>
      <c r="I36" s="239"/>
    </row>
    <row r="37" spans="1:9" x14ac:dyDescent="0.2">
      <c r="A37" s="347" t="s">
        <v>164</v>
      </c>
      <c r="B37" s="348"/>
      <c r="C37" s="146"/>
      <c r="D37" s="133"/>
      <c r="E37" s="133"/>
      <c r="F37" s="165"/>
      <c r="G37" s="165"/>
      <c r="H37" s="165"/>
      <c r="I37" s="168"/>
    </row>
    <row r="38" spans="1:9" x14ac:dyDescent="0.2">
      <c r="A38" s="216" t="s">
        <v>165</v>
      </c>
      <c r="B38" s="5">
        <v>25020</v>
      </c>
      <c r="C38" s="144"/>
      <c r="D38" s="131">
        <v>3259</v>
      </c>
      <c r="E38" s="157">
        <v>13416</v>
      </c>
      <c r="F38" s="160">
        <v>2584</v>
      </c>
      <c r="G38" s="160" t="s">
        <v>140</v>
      </c>
      <c r="H38" s="160" t="s">
        <v>140</v>
      </c>
      <c r="I38" s="167" t="s">
        <v>125</v>
      </c>
    </row>
    <row r="39" spans="1:9" x14ac:dyDescent="0.2">
      <c r="A39" s="216" t="s">
        <v>209</v>
      </c>
      <c r="B39" s="5">
        <v>64177</v>
      </c>
      <c r="C39" s="144"/>
      <c r="D39" s="131">
        <v>5606</v>
      </c>
      <c r="E39" s="157">
        <v>18782</v>
      </c>
      <c r="F39" s="160">
        <v>4145</v>
      </c>
      <c r="G39" s="158" t="s">
        <v>140</v>
      </c>
      <c r="H39" s="158" t="s">
        <v>140</v>
      </c>
      <c r="I39" s="167" t="s">
        <v>125</v>
      </c>
    </row>
    <row r="40" spans="1:9" x14ac:dyDescent="0.2">
      <c r="A40" s="216" t="s">
        <v>166</v>
      </c>
      <c r="B40" s="5">
        <v>79757</v>
      </c>
      <c r="C40" s="144"/>
      <c r="D40" s="131">
        <v>6236</v>
      </c>
      <c r="E40" s="157">
        <v>6724</v>
      </c>
      <c r="F40" s="160">
        <v>840</v>
      </c>
      <c r="G40" s="158" t="s">
        <v>140</v>
      </c>
      <c r="H40" s="158" t="s">
        <v>140</v>
      </c>
      <c r="I40" s="167" t="s">
        <v>125</v>
      </c>
    </row>
    <row r="41" spans="1:9" x14ac:dyDescent="0.2">
      <c r="A41" s="213" t="s">
        <v>167</v>
      </c>
      <c r="B41" s="5"/>
      <c r="C41" s="144"/>
      <c r="D41" s="131">
        <v>6601</v>
      </c>
      <c r="E41" s="157">
        <v>6426</v>
      </c>
      <c r="F41" s="160">
        <v>1062</v>
      </c>
      <c r="G41" s="158" t="s">
        <v>140</v>
      </c>
      <c r="H41" s="158" t="s">
        <v>140</v>
      </c>
      <c r="I41" s="167" t="s">
        <v>125</v>
      </c>
    </row>
    <row r="42" spans="1:9" x14ac:dyDescent="0.2">
      <c r="A42" s="213" t="s">
        <v>210</v>
      </c>
      <c r="B42" s="5"/>
      <c r="C42" s="144"/>
      <c r="D42" s="131"/>
      <c r="E42" s="157">
        <v>73474</v>
      </c>
      <c r="F42" s="160">
        <v>8869</v>
      </c>
      <c r="G42" s="158" t="s">
        <v>140</v>
      </c>
      <c r="H42" s="158" t="s">
        <v>140</v>
      </c>
      <c r="I42" s="167" t="s">
        <v>125</v>
      </c>
    </row>
    <row r="43" spans="1:9" x14ac:dyDescent="0.2">
      <c r="A43" s="217" t="s">
        <v>91</v>
      </c>
      <c r="B43" s="5">
        <v>17213</v>
      </c>
      <c r="C43" s="144"/>
      <c r="D43" s="131">
        <v>455</v>
      </c>
      <c r="E43" s="157">
        <v>7538</v>
      </c>
      <c r="F43" s="160">
        <v>1062</v>
      </c>
      <c r="G43" s="160" t="s">
        <v>140</v>
      </c>
      <c r="H43" s="160" t="s">
        <v>140</v>
      </c>
      <c r="I43" s="167" t="s">
        <v>125</v>
      </c>
    </row>
    <row r="44" spans="1:9" x14ac:dyDescent="0.2">
      <c r="A44" s="347" t="s">
        <v>21</v>
      </c>
      <c r="B44" s="348"/>
      <c r="C44" s="146"/>
      <c r="D44" s="133"/>
      <c r="E44" s="133"/>
      <c r="F44" s="165"/>
      <c r="G44" s="165"/>
      <c r="H44" s="165"/>
      <c r="I44" s="168"/>
    </row>
    <row r="45" spans="1:9" hidden="1" x14ac:dyDescent="0.2">
      <c r="A45" s="122" t="s">
        <v>0</v>
      </c>
      <c r="B45" s="5"/>
      <c r="C45" s="147"/>
      <c r="D45" s="134"/>
      <c r="E45" s="134"/>
      <c r="F45" s="166"/>
      <c r="G45" s="166"/>
      <c r="H45" s="166"/>
      <c r="I45" s="169"/>
    </row>
    <row r="46" spans="1:9" x14ac:dyDescent="0.2">
      <c r="A46" s="122" t="s">
        <v>42</v>
      </c>
      <c r="B46" s="5">
        <v>185</v>
      </c>
      <c r="C46" s="144"/>
      <c r="D46" s="137" t="s">
        <v>140</v>
      </c>
      <c r="E46" s="158">
        <v>164</v>
      </c>
      <c r="F46" s="158" t="s">
        <v>140</v>
      </c>
      <c r="G46" s="158" t="s">
        <v>140</v>
      </c>
      <c r="H46" s="158" t="s">
        <v>140</v>
      </c>
      <c r="I46" s="167" t="s">
        <v>125</v>
      </c>
    </row>
    <row r="47" spans="1:9" x14ac:dyDescent="0.2">
      <c r="A47" s="347" t="s">
        <v>22</v>
      </c>
      <c r="B47" s="348"/>
      <c r="C47" s="145"/>
      <c r="D47" s="132"/>
      <c r="E47" s="132"/>
      <c r="F47" s="164"/>
      <c r="G47" s="164"/>
      <c r="H47" s="164"/>
      <c r="I47" s="168"/>
    </row>
    <row r="48" spans="1:9" hidden="1" x14ac:dyDescent="0.2">
      <c r="A48" s="122" t="s">
        <v>0</v>
      </c>
      <c r="B48" s="5"/>
      <c r="C48" s="147"/>
      <c r="D48" s="134"/>
      <c r="E48" s="134"/>
      <c r="F48" s="166"/>
      <c r="G48" s="166"/>
      <c r="H48" s="166"/>
      <c r="I48" s="169"/>
    </row>
    <row r="49" spans="1:9" x14ac:dyDescent="0.2">
      <c r="A49" s="122" t="s">
        <v>42</v>
      </c>
      <c r="B49" s="5">
        <v>0</v>
      </c>
      <c r="C49" s="147"/>
      <c r="D49" s="134"/>
      <c r="E49" s="159">
        <v>204</v>
      </c>
      <c r="F49" s="158" t="s">
        <v>140</v>
      </c>
      <c r="G49" s="158" t="s">
        <v>140</v>
      </c>
      <c r="H49" s="158" t="s">
        <v>140</v>
      </c>
      <c r="I49" s="159" t="s">
        <v>125</v>
      </c>
    </row>
    <row r="50" spans="1:9" x14ac:dyDescent="0.2">
      <c r="A50" s="347" t="s">
        <v>299</v>
      </c>
      <c r="B50" s="348"/>
      <c r="C50" s="146"/>
      <c r="D50" s="133"/>
      <c r="E50" s="133"/>
      <c r="F50" s="165"/>
      <c r="G50" s="165"/>
      <c r="H50" s="165"/>
      <c r="I50" s="168"/>
    </row>
    <row r="51" spans="1:9" x14ac:dyDescent="0.2">
      <c r="A51" s="120" t="s">
        <v>305</v>
      </c>
      <c r="B51" s="5">
        <v>0</v>
      </c>
      <c r="C51" s="147"/>
      <c r="D51" s="134"/>
      <c r="E51" s="159">
        <v>50</v>
      </c>
      <c r="F51" s="158" t="s">
        <v>140</v>
      </c>
      <c r="G51" s="158" t="s">
        <v>140</v>
      </c>
      <c r="H51" s="158" t="s">
        <v>140</v>
      </c>
      <c r="I51" s="159" t="s">
        <v>125</v>
      </c>
    </row>
    <row r="52" spans="1:9" x14ac:dyDescent="0.2">
      <c r="A52" s="232" t="s">
        <v>300</v>
      </c>
      <c r="B52" s="233"/>
      <c r="C52" s="147"/>
      <c r="D52" s="134"/>
      <c r="E52" s="292">
        <v>70</v>
      </c>
      <c r="F52" s="292"/>
      <c r="G52" s="292"/>
      <c r="H52" s="292"/>
      <c r="I52" s="292"/>
    </row>
    <row r="53" spans="1:9" x14ac:dyDescent="0.2">
      <c r="A53" s="347" t="s">
        <v>112</v>
      </c>
      <c r="B53" s="348"/>
      <c r="C53" s="146"/>
      <c r="D53" s="133"/>
      <c r="E53" s="133"/>
      <c r="F53" s="165"/>
      <c r="G53" s="165"/>
      <c r="H53" s="165"/>
      <c r="I53" s="168"/>
    </row>
    <row r="54" spans="1:9" x14ac:dyDescent="0.2">
      <c r="A54" s="122" t="s">
        <v>86</v>
      </c>
      <c r="B54" s="228">
        <v>44642</v>
      </c>
      <c r="C54" s="226"/>
      <c r="D54" s="226">
        <v>3038</v>
      </c>
      <c r="E54" s="237">
        <f>(1024*117)</f>
        <v>119808</v>
      </c>
      <c r="F54" s="237">
        <f>(3494+138)</f>
        <v>3632</v>
      </c>
      <c r="G54" s="157" t="s">
        <v>140</v>
      </c>
      <c r="H54" s="157" t="s">
        <v>140</v>
      </c>
      <c r="I54" s="167" t="s">
        <v>125</v>
      </c>
    </row>
    <row r="55" spans="1:9" x14ac:dyDescent="0.2">
      <c r="A55" s="122" t="s">
        <v>87</v>
      </c>
      <c r="B55" s="228">
        <v>1797</v>
      </c>
      <c r="C55" s="226"/>
      <c r="D55" s="226">
        <v>588</v>
      </c>
      <c r="E55" s="237">
        <f>(1024*15)</f>
        <v>15360</v>
      </c>
      <c r="F55" s="237">
        <f>(834+138)</f>
        <v>972</v>
      </c>
      <c r="G55" s="157" t="s">
        <v>140</v>
      </c>
      <c r="H55" s="157" t="s">
        <v>140</v>
      </c>
      <c r="I55" s="167" t="s">
        <v>125</v>
      </c>
    </row>
    <row r="56" spans="1:9" x14ac:dyDescent="0.2">
      <c r="A56" s="122" t="s">
        <v>133</v>
      </c>
      <c r="B56" s="228"/>
      <c r="C56" s="228"/>
      <c r="D56" s="228">
        <v>5622</v>
      </c>
      <c r="E56" s="237">
        <f>(1024*166)</f>
        <v>169984</v>
      </c>
      <c r="F56" s="237">
        <f>(1024*10)</f>
        <v>10240</v>
      </c>
      <c r="G56" s="157" t="s">
        <v>140</v>
      </c>
      <c r="H56" s="157" t="s">
        <v>140</v>
      </c>
      <c r="I56" s="167" t="s">
        <v>125</v>
      </c>
    </row>
    <row r="57" spans="1:9" x14ac:dyDescent="0.2">
      <c r="A57" s="122" t="s">
        <v>134</v>
      </c>
      <c r="B57" s="228"/>
      <c r="C57" s="228"/>
      <c r="D57" s="228">
        <v>1356</v>
      </c>
      <c r="E57" s="237">
        <f>(1024*18)</f>
        <v>18432</v>
      </c>
      <c r="F57" s="237">
        <v>1174</v>
      </c>
      <c r="G57" s="157" t="s">
        <v>140</v>
      </c>
      <c r="H57" s="157" t="s">
        <v>140</v>
      </c>
      <c r="I57" s="167" t="s">
        <v>125</v>
      </c>
    </row>
    <row r="58" spans="1:9" x14ac:dyDescent="0.2">
      <c r="A58" s="122" t="s">
        <v>302</v>
      </c>
      <c r="B58" s="228"/>
      <c r="C58" s="228"/>
      <c r="D58" s="228">
        <v>1356</v>
      </c>
      <c r="E58" s="237">
        <f>(1024*10)</f>
        <v>10240</v>
      </c>
      <c r="F58" s="237">
        <f>(16 *1024+966)</f>
        <v>17350</v>
      </c>
      <c r="G58" s="157" t="s">
        <v>140</v>
      </c>
      <c r="H58" s="157" t="s">
        <v>140</v>
      </c>
      <c r="I58" s="167" t="s">
        <v>125</v>
      </c>
    </row>
    <row r="59" spans="1:9" ht="13.5" hidden="1" thickBot="1" x14ac:dyDescent="0.25">
      <c r="A59" s="341" t="s">
        <v>153</v>
      </c>
      <c r="B59" s="342"/>
      <c r="C59" s="134"/>
      <c r="D59" s="134"/>
      <c r="E59" s="341"/>
      <c r="F59" s="342"/>
      <c r="G59" s="342"/>
      <c r="H59" s="280"/>
      <c r="I59" s="168"/>
    </row>
    <row r="60" spans="1:9" hidden="1" x14ac:dyDescent="0.2">
      <c r="A60" s="175" t="s">
        <v>154</v>
      </c>
      <c r="B60" s="174"/>
      <c r="C60" s="174"/>
      <c r="D60" s="174"/>
      <c r="E60" s="174"/>
      <c r="F60" s="174" t="s">
        <v>140</v>
      </c>
      <c r="G60" s="158" t="s">
        <v>140</v>
      </c>
      <c r="H60" s="158" t="s">
        <v>140</v>
      </c>
      <c r="I60" s="170"/>
    </row>
    <row r="61" spans="1:9" ht="13.5" hidden="1" thickBot="1" x14ac:dyDescent="0.25">
      <c r="A61" s="176" t="s">
        <v>155</v>
      </c>
      <c r="B61" s="125"/>
      <c r="C61" s="125"/>
      <c r="D61" s="125"/>
      <c r="E61" s="125" t="s">
        <v>140</v>
      </c>
      <c r="F61" s="125" t="s">
        <v>140</v>
      </c>
      <c r="G61" s="158" t="s">
        <v>140</v>
      </c>
      <c r="H61" s="158" t="s">
        <v>140</v>
      </c>
      <c r="I61" s="170" t="s">
        <v>125</v>
      </c>
    </row>
    <row r="62" spans="1:9" x14ac:dyDescent="0.2">
      <c r="A62" s="343" t="s">
        <v>59</v>
      </c>
      <c r="B62" s="344"/>
      <c r="C62" s="135"/>
      <c r="D62" s="135"/>
      <c r="E62" s="135"/>
      <c r="F62" s="165"/>
      <c r="G62" s="165"/>
      <c r="H62" s="165"/>
      <c r="I62" s="168"/>
    </row>
    <row r="63" spans="1:9" x14ac:dyDescent="0.2">
      <c r="A63" s="123" t="s">
        <v>60</v>
      </c>
      <c r="B63" s="5">
        <v>1.3</v>
      </c>
      <c r="C63" s="131">
        <v>1.3</v>
      </c>
      <c r="D63" s="131">
        <v>1.3</v>
      </c>
      <c r="E63" s="160">
        <v>1.3</v>
      </c>
      <c r="F63" s="160">
        <v>1.3</v>
      </c>
      <c r="G63" s="160">
        <v>1.3</v>
      </c>
      <c r="H63" s="160">
        <v>1.3</v>
      </c>
      <c r="I63" s="167"/>
    </row>
    <row r="64" spans="1:9" x14ac:dyDescent="0.2">
      <c r="A64" s="343" t="s">
        <v>97</v>
      </c>
      <c r="B64" s="344"/>
      <c r="C64" s="135"/>
      <c r="D64" s="135"/>
      <c r="E64" s="135"/>
      <c r="F64" s="165"/>
      <c r="G64" s="165"/>
      <c r="H64" s="165"/>
      <c r="I64" s="168"/>
    </row>
    <row r="65" spans="1:9" x14ac:dyDescent="0.2">
      <c r="A65" s="124" t="s">
        <v>94</v>
      </c>
      <c r="B65" s="5">
        <v>7</v>
      </c>
      <c r="C65" s="5">
        <v>7</v>
      </c>
      <c r="D65" s="5">
        <v>7</v>
      </c>
      <c r="E65" s="161">
        <v>7</v>
      </c>
      <c r="F65" s="161">
        <v>7</v>
      </c>
      <c r="G65" s="161">
        <v>7</v>
      </c>
      <c r="H65" s="157" t="s">
        <v>140</v>
      </c>
      <c r="I65" s="171"/>
    </row>
    <row r="66" spans="1:9" x14ac:dyDescent="0.2">
      <c r="A66" s="124" t="s">
        <v>95</v>
      </c>
      <c r="B66" s="5">
        <v>8</v>
      </c>
      <c r="C66" s="5">
        <v>8</v>
      </c>
      <c r="D66" s="5">
        <v>8</v>
      </c>
      <c r="E66" s="161">
        <v>8</v>
      </c>
      <c r="F66" s="161">
        <v>8</v>
      </c>
      <c r="G66" s="161">
        <v>8</v>
      </c>
      <c r="H66" s="157" t="s">
        <v>140</v>
      </c>
      <c r="I66" s="171"/>
    </row>
    <row r="67" spans="1:9" x14ac:dyDescent="0.2">
      <c r="A67" s="218" t="s">
        <v>168</v>
      </c>
      <c r="B67" s="5">
        <v>7</v>
      </c>
      <c r="C67" s="5">
        <v>7</v>
      </c>
      <c r="D67" s="5">
        <v>7</v>
      </c>
      <c r="E67" s="161">
        <v>7</v>
      </c>
      <c r="F67" s="161">
        <v>7</v>
      </c>
      <c r="G67" s="161">
        <v>7</v>
      </c>
      <c r="H67" s="157" t="s">
        <v>140</v>
      </c>
      <c r="I67" s="171"/>
    </row>
    <row r="68" spans="1:9" x14ac:dyDescent="0.2">
      <c r="A68" s="218" t="s">
        <v>169</v>
      </c>
      <c r="B68" s="5">
        <v>8</v>
      </c>
      <c r="C68" s="5">
        <v>8</v>
      </c>
      <c r="D68" s="5">
        <v>8</v>
      </c>
      <c r="E68" s="161">
        <v>8</v>
      </c>
      <c r="F68" s="161">
        <v>8</v>
      </c>
      <c r="G68" s="161">
        <v>8</v>
      </c>
      <c r="H68" s="157" t="s">
        <v>140</v>
      </c>
      <c r="I68" s="171"/>
    </row>
    <row r="69" spans="1:9" x14ac:dyDescent="0.2">
      <c r="A69" s="124" t="s">
        <v>96</v>
      </c>
      <c r="B69" s="5">
        <v>10</v>
      </c>
      <c r="C69" s="5">
        <v>10</v>
      </c>
      <c r="D69" s="5">
        <v>10</v>
      </c>
      <c r="E69" s="161">
        <v>10</v>
      </c>
      <c r="F69" s="161">
        <v>10</v>
      </c>
      <c r="G69" s="161">
        <v>10</v>
      </c>
      <c r="H69" s="157" t="s">
        <v>140</v>
      </c>
      <c r="I69" s="171"/>
    </row>
    <row r="70" spans="1:9" x14ac:dyDescent="0.2">
      <c r="A70" s="124" t="s">
        <v>98</v>
      </c>
      <c r="B70" s="5">
        <v>3</v>
      </c>
      <c r="C70" s="5">
        <v>3</v>
      </c>
      <c r="D70" s="136" t="s">
        <v>140</v>
      </c>
      <c r="E70" s="159" t="s">
        <v>140</v>
      </c>
      <c r="F70" s="159" t="s">
        <v>140</v>
      </c>
      <c r="G70" s="159" t="s">
        <v>140</v>
      </c>
      <c r="H70" s="157" t="s">
        <v>140</v>
      </c>
      <c r="I70" s="171"/>
    </row>
    <row r="71" spans="1:9" x14ac:dyDescent="0.2">
      <c r="A71" s="124" t="s">
        <v>99</v>
      </c>
      <c r="B71" s="5">
        <v>15</v>
      </c>
      <c r="C71" s="5">
        <v>15</v>
      </c>
      <c r="D71" s="136" t="s">
        <v>140</v>
      </c>
      <c r="E71" s="159" t="s">
        <v>140</v>
      </c>
      <c r="F71" s="159" t="s">
        <v>140</v>
      </c>
      <c r="G71" s="159" t="s">
        <v>140</v>
      </c>
      <c r="H71" s="157" t="s">
        <v>140</v>
      </c>
      <c r="I71" s="171"/>
    </row>
    <row r="72" spans="1:9" x14ac:dyDescent="0.2">
      <c r="A72" s="124" t="s">
        <v>100</v>
      </c>
      <c r="B72" s="5">
        <v>8</v>
      </c>
      <c r="C72" s="5">
        <v>8</v>
      </c>
      <c r="D72" s="136" t="s">
        <v>140</v>
      </c>
      <c r="E72" s="159" t="s">
        <v>140</v>
      </c>
      <c r="F72" s="159" t="s">
        <v>140</v>
      </c>
      <c r="G72" s="159" t="s">
        <v>140</v>
      </c>
      <c r="H72" s="157" t="s">
        <v>140</v>
      </c>
      <c r="I72" s="171"/>
    </row>
    <row r="73" spans="1:9" x14ac:dyDescent="0.2">
      <c r="A73" s="124" t="s">
        <v>101</v>
      </c>
      <c r="B73" s="5">
        <v>12</v>
      </c>
      <c r="C73" s="5">
        <v>12</v>
      </c>
      <c r="D73" s="136" t="s">
        <v>140</v>
      </c>
      <c r="E73" s="159" t="s">
        <v>140</v>
      </c>
      <c r="F73" s="159" t="s">
        <v>140</v>
      </c>
      <c r="G73" s="159" t="s">
        <v>140</v>
      </c>
      <c r="H73" s="157" t="s">
        <v>140</v>
      </c>
      <c r="I73" s="171"/>
    </row>
    <row r="74" spans="1:9" x14ac:dyDescent="0.2">
      <c r="A74" s="142" t="s">
        <v>102</v>
      </c>
      <c r="B74" s="143">
        <v>10</v>
      </c>
      <c r="C74" s="143">
        <v>10</v>
      </c>
      <c r="D74" s="143">
        <v>10</v>
      </c>
      <c r="E74" s="162">
        <v>10</v>
      </c>
      <c r="F74" s="162">
        <v>10</v>
      </c>
      <c r="G74" s="162">
        <v>10</v>
      </c>
      <c r="H74" s="157" t="s">
        <v>140</v>
      </c>
      <c r="I74" s="172"/>
    </row>
    <row r="75" spans="1:9" ht="13.5" thickBot="1" x14ac:dyDescent="0.25">
      <c r="A75" s="125" t="s">
        <v>146</v>
      </c>
      <c r="B75" s="126"/>
      <c r="C75" s="126"/>
      <c r="D75" s="126">
        <v>14</v>
      </c>
      <c r="E75" s="163">
        <v>14</v>
      </c>
      <c r="F75" s="163">
        <v>14</v>
      </c>
      <c r="G75" s="163">
        <v>14</v>
      </c>
      <c r="H75" s="157" t="s">
        <v>140</v>
      </c>
      <c r="I75" s="173"/>
    </row>
    <row r="76" spans="1:9" ht="13.5" thickBot="1" x14ac:dyDescent="0.25">
      <c r="A76" s="125" t="s">
        <v>255</v>
      </c>
      <c r="B76" s="126"/>
      <c r="C76" s="126"/>
      <c r="D76" s="126">
        <v>14</v>
      </c>
      <c r="E76" s="163">
        <v>300</v>
      </c>
      <c r="F76" s="163" t="s">
        <v>140</v>
      </c>
      <c r="G76" s="163" t="s">
        <v>140</v>
      </c>
      <c r="H76" s="163" t="s">
        <v>140</v>
      </c>
      <c r="I76" s="173"/>
    </row>
    <row r="77" spans="1:9" ht="13.5" thickBot="1" x14ac:dyDescent="0.25">
      <c r="A77" s="125" t="s">
        <v>308</v>
      </c>
      <c r="B77" s="126"/>
      <c r="C77" s="126"/>
      <c r="D77" s="126">
        <v>14</v>
      </c>
      <c r="E77" s="163">
        <v>1</v>
      </c>
      <c r="F77" s="163" t="s">
        <v>140</v>
      </c>
      <c r="G77" s="163" t="s">
        <v>140</v>
      </c>
      <c r="H77" s="163" t="s">
        <v>140</v>
      </c>
      <c r="I77" s="173"/>
    </row>
    <row r="78" spans="1:9" ht="91.5" customHeight="1" x14ac:dyDescent="0.2">
      <c r="A78" s="302" t="s">
        <v>128</v>
      </c>
      <c r="B78" s="302"/>
      <c r="C78" s="128"/>
      <c r="D78" s="128"/>
      <c r="E78" s="141"/>
      <c r="F78" s="141"/>
      <c r="G78" s="155"/>
      <c r="H78" s="271"/>
    </row>
    <row r="84" spans="5:5" x14ac:dyDescent="0.2">
      <c r="E84" s="229"/>
    </row>
  </sheetData>
  <mergeCells count="15">
    <mergeCell ref="E59:G59"/>
    <mergeCell ref="A64:B64"/>
    <mergeCell ref="A78:B78"/>
    <mergeCell ref="A2:A3"/>
    <mergeCell ref="A53:B53"/>
    <mergeCell ref="A62:B62"/>
    <mergeCell ref="A17:B17"/>
    <mergeCell ref="A24:B24"/>
    <mergeCell ref="A44:B44"/>
    <mergeCell ref="A47:B47"/>
    <mergeCell ref="A59:B59"/>
    <mergeCell ref="A37:B37"/>
    <mergeCell ref="A31:B31"/>
    <mergeCell ref="A20:B20"/>
    <mergeCell ref="A50:B50"/>
  </mergeCells>
  <phoneticPr fontId="3" type="noConversion"/>
  <pageMargins left="0.75" right="0.75" top="1" bottom="1" header="0.5" footer="0.5"/>
  <pageSetup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94</vt:i4>
      </vt:variant>
    </vt:vector>
  </HeadingPairs>
  <TitlesOfParts>
    <vt:vector size="98" baseType="lpstr">
      <vt:lpstr>Instructions</vt:lpstr>
      <vt:lpstr>Sheet1</vt:lpstr>
      <vt:lpstr>Finesse 12.6</vt:lpstr>
      <vt:lpstr>BW Data</vt:lpstr>
      <vt:lpstr>'Finesse 12.6'!Agent_Call_Wrap_Up_Time</vt:lpstr>
      <vt:lpstr>'Finesse 12.6'!Agent_Call_Wrap_Up_Time_v901</vt:lpstr>
      <vt:lpstr>'Finesse 12.6'!Agent_Statistics_Update_Interval_v801</vt:lpstr>
      <vt:lpstr>Agent_Task_Wrap_Up_Time</vt:lpstr>
      <vt:lpstr>'Finesse 12.6'!Average_Call_Duration</vt:lpstr>
      <vt:lpstr>'Finesse 12.6'!Average_Call_Duration_v901</vt:lpstr>
      <vt:lpstr>'Finesse 12.6'!Average_number_of_agents_per_Team</vt:lpstr>
      <vt:lpstr>'Finesse 12.6'!Average_number_of_agents_per_team_v901</vt:lpstr>
      <vt:lpstr>'Finesse 12.6'!Average_number_of_Skill_Groups_per_Agent_v901</vt:lpstr>
      <vt:lpstr>'Finesse 12.6'!Average_number_of_Skill_Groups_per_Supervisor</vt:lpstr>
      <vt:lpstr>Average_Task_Duration</vt:lpstr>
      <vt:lpstr>Avg_Agent_State_Changes_Per_Call_NoWrap</vt:lpstr>
      <vt:lpstr>Avg_Agent_State_Changes_Per_Call_NoWrap_v91</vt:lpstr>
      <vt:lpstr>Avg_Agent_State_Changes_Per_Call_Wrap</vt:lpstr>
      <vt:lpstr>Avg_Agent_State_Changes_Per_Call_Wrap_v91</vt:lpstr>
      <vt:lpstr>Avg_Agent_State_Changes_Per_Task_NoWrap</vt:lpstr>
      <vt:lpstr>Avg_agent_state_Changes_Per_Task_Wrap</vt:lpstr>
      <vt:lpstr>Avg_Number_Dialog_Events_Per_ConfCall</vt:lpstr>
      <vt:lpstr>Avg_Number_Dialog_Events_Per_IncomingCall</vt:lpstr>
      <vt:lpstr>Avg_Number_Dialog_Events_Per_OutCall</vt:lpstr>
      <vt:lpstr>Avg_Number_Dialog_Events_Per_XferCall</vt:lpstr>
      <vt:lpstr>Bandwidth_Confidence_Factor</vt:lpstr>
      <vt:lpstr>Bandwidth_Confidence_Factor_CCAI</vt:lpstr>
      <vt:lpstr>Bandwidth_Confidence_Factor_v9</vt:lpstr>
      <vt:lpstr>Bandwidth_Confidence_Factor_v91</vt:lpstr>
      <vt:lpstr>'Finesse 12.6'!BHCA</vt:lpstr>
      <vt:lpstr>'Finesse 12.6'!BHCA_v901</vt:lpstr>
      <vt:lpstr>BHTA</vt:lpstr>
      <vt:lpstr>Bytes_Per_Call_Variable_Value</vt:lpstr>
      <vt:lpstr>'Finesse 12.6'!Calls_Per_Second</vt:lpstr>
      <vt:lpstr>'Finesse 12.6'!Calls_Per_Second_v901</vt:lpstr>
      <vt:lpstr>ccai_services_configured</vt:lpstr>
      <vt:lpstr>'Finesse 12.6'!Max_Login_Time_All_Agents</vt:lpstr>
      <vt:lpstr>'Finesse 12.6'!Max_Login_Time_All_Users</vt:lpstr>
      <vt:lpstr>'Finesse 12.6'!Maximum_Login_Time_for_all_users</vt:lpstr>
      <vt:lpstr>'Finesse 12.6'!Number_of_Agent_Statistics_v801</vt:lpstr>
      <vt:lpstr>'Finesse 12.6'!Number_of_Agents</vt:lpstr>
      <vt:lpstr>Number_of_Agents_Answers_Enabled</vt:lpstr>
      <vt:lpstr>Number_of_Agents_Transcript_Enabled</vt:lpstr>
      <vt:lpstr>Number_of_Agents_Transcripts_Enabled</vt:lpstr>
      <vt:lpstr>'Finesse 12.6'!Number_of_All_Agents_Monitors_v801</vt:lpstr>
      <vt:lpstr>Number_of_Call_Variables</vt:lpstr>
      <vt:lpstr>Number_of_Call_Variables_v91</vt:lpstr>
      <vt:lpstr>Number_of_Configured_Call_variables</vt:lpstr>
      <vt:lpstr>'Finesse 12.6'!Number_of_Configured_ECC_variables</vt:lpstr>
      <vt:lpstr>'Finesse 12.6'!Number_of_Configured_ECC_variables_v901</vt:lpstr>
      <vt:lpstr>Number_of_mc_agents</vt:lpstr>
      <vt:lpstr>Number_of_Multi_Channel_Agents</vt:lpstr>
      <vt:lpstr>Number_of_Non_Voice_MRDs</vt:lpstr>
      <vt:lpstr>Number_of_nonSSO_agents</vt:lpstr>
      <vt:lpstr>Number_of_nonSSO_supervisors</vt:lpstr>
      <vt:lpstr>Number_of_nonvoice_mrds</vt:lpstr>
      <vt:lpstr>'Finesse 12.6'!Number_of_Skill_Group_Statistics_v801</vt:lpstr>
      <vt:lpstr>'Finesse 12.6'!Number_of_Skill_Groups_per_Agent_v801</vt:lpstr>
      <vt:lpstr>'Finesse 12.6'!Number_of_Skill_Groups_per_Supervisor_v901</vt:lpstr>
      <vt:lpstr>Number_of_Skill_Groups_PG</vt:lpstr>
      <vt:lpstr>Number_of_SSO_agents</vt:lpstr>
      <vt:lpstr>Number_of_SSO_supervisors</vt:lpstr>
      <vt:lpstr>'Finesse 12.6'!Number_of_Supervisors</vt:lpstr>
      <vt:lpstr>Number_of_Supervisors_v10</vt:lpstr>
      <vt:lpstr>'Finesse 12.6'!Number_of_Supervisors_v901</vt:lpstr>
      <vt:lpstr>Number_of_teams_for_supervisor</vt:lpstr>
      <vt:lpstr>Percentage_Calls_CCAI_Enabled</vt:lpstr>
      <vt:lpstr>'Finesse 12.6'!Percentage_Calls_Silently_Monitored</vt:lpstr>
      <vt:lpstr>Percentage_of_BargedCalls</vt:lpstr>
      <vt:lpstr>'Finesse 12.6'!Percentage_of_Calls_that_are_silently_monitored</vt:lpstr>
      <vt:lpstr>'Finesse 12.6'!Percentage_of_Consultative_Conference_Calls</vt:lpstr>
      <vt:lpstr>'Finesse 12.6'!Percentage_of_Consultative_Conference_Calls_v901</vt:lpstr>
      <vt:lpstr>'Finesse 12.6'!Percentage_of_Consultative_Transfer_Calls</vt:lpstr>
      <vt:lpstr>'Finesse 12.6'!Percentage_of_Consultative_Transfer_Calls_v901</vt:lpstr>
      <vt:lpstr>'Finesse 12.6'!Percentage_of_Incoming_Straight_Calls</vt:lpstr>
      <vt:lpstr>'Finesse 12.6'!Percentage_of_Incoming_Straight_Calls_v901</vt:lpstr>
      <vt:lpstr>Percentage_of_Incoming_Straight_Tasks</vt:lpstr>
      <vt:lpstr>Percentage_of_InterceptedCalls</vt:lpstr>
      <vt:lpstr>Percentage_of_Interrupted_Tasks</vt:lpstr>
      <vt:lpstr>'Finesse 12.6'!Percentage_of_Outgoing_Straight_Calls</vt:lpstr>
      <vt:lpstr>'Finesse 12.6'!Percentage_of_Outgoing_Straight_Calls_v901</vt:lpstr>
      <vt:lpstr>Percentage_of_Paused_and_Resumed_Tasks</vt:lpstr>
      <vt:lpstr>'Finesse 12.6'!Percentage_of_Single_Step_Transfer_Calls_v801</vt:lpstr>
      <vt:lpstr>Percentage_of_SingleStep_Transfer_Calls</vt:lpstr>
      <vt:lpstr>Percentage_of_Transferred_Tasks</vt:lpstr>
      <vt:lpstr>Skill_Group_Refresh_Rate</vt:lpstr>
      <vt:lpstr>Skill_Group_Refresh_Rate_v91</vt:lpstr>
      <vt:lpstr>'Finesse 12.6'!Skill_Group_Update_Interval_v801</vt:lpstr>
      <vt:lpstr>'Finesse 12.6'!Sum_of_all_Call_Variable_Values</vt:lpstr>
      <vt:lpstr>'Finesse 12.6'!Sum_of_all_Call_Variable_Values_v901</vt:lpstr>
      <vt:lpstr>'Finesse 12.6'!Sum_of_all_ECC_Variable_Names</vt:lpstr>
      <vt:lpstr>'Finesse 12.6'!Sum_of_all_ECC_Variable_Names_v901</vt:lpstr>
      <vt:lpstr>'Finesse 12.6'!Sum_of_all_ECC_Variable_Values</vt:lpstr>
      <vt:lpstr>'Finesse 12.6'!Sum_of_all_ECC_Variable_Values_v901</vt:lpstr>
      <vt:lpstr>Tasks_Per_Second</vt:lpstr>
      <vt:lpstr>'Finesse 12.6'!Total</vt:lpstr>
      <vt:lpstr>Totall</vt:lpstr>
      <vt:lpstr>Totalll</vt:lpstr>
    </vt:vector>
  </TitlesOfParts>
  <Company>Cisco Systems,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elalo</dc:creator>
  <cp:lastModifiedBy>Ravi Teja Kota (ravkota)</cp:lastModifiedBy>
  <cp:lastPrinted>2005-06-13T18:47:50Z</cp:lastPrinted>
  <dcterms:created xsi:type="dcterms:W3CDTF">2005-06-07T14:17:23Z</dcterms:created>
  <dcterms:modified xsi:type="dcterms:W3CDTF">2021-06-04T11:14:31Z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VeraFileId">
    <vt:lpwstr>RwBDG/o8Q86UKzyegmhkfw</vt:lpwstr>
  </property>
  <property fmtid="{D5CDD505-2E9C-101B-9397-08002B2CF9AE}" pid="4" name="application">
    <vt:lpwstr>Confluence</vt:lpwstr>
  </property>
  <property fmtid="{D5CDD505-2E9C-101B-9397-08002B2CF9AE}" pid="5" name="assettype">
    <vt:lpwstr>Page</vt:lpwstr>
  </property>
  <property fmtid="{D5CDD505-2E9C-101B-9397-08002B2CF9AE}" pid="6" name="businessUnit">
    <vt:lpwstr>Engineering</vt:lpwstr>
  </property>
  <property fmtid="{D5CDD505-2E9C-101B-9397-08002B2CF9AE}" pid="7" name="classification">
    <vt:lpwstr>Highly Confidential</vt:lpwstr>
  </property>
  <property fmtid="{D5CDD505-2E9C-101B-9397-08002B2CF9AE}" pid="8" name="instance">
    <vt:lpwstr>confluence-eng-sjc12.cisco.com</vt:lpwstr>
  </property>
  <property fmtid="{D5CDD505-2E9C-101B-9397-08002B2CF9AE}" pid="9" name="key">
    <vt:lpwstr>FIN</vt:lpwstr>
  </property>
  <property fmtid="{D5CDD505-2E9C-101B-9397-08002B2CF9AE}" pid="10" name="page">
    <vt:lpwstr>137197346</vt:lpwstr>
  </property>
  <property fmtid="{D5CDD505-2E9C-101B-9397-08002B2CF9AE}" pid="11" name="taxonomy">
    <vt:lpwstr>Cisco Strategic Data</vt:lpwstr>
  </property>
  <property fmtid="{D5CDD505-2E9C-101B-9397-08002B2CF9AE}" pid="12" name="timestamp">
    <vt:lpwstr>2019-10-06 12:06:54.833</vt:lpwstr>
  </property>
  <property fmtid="{D5CDD505-2E9C-101B-9397-08002B2CF9AE}" pid="13" name="user">
    <vt:lpwstr>bhagoswa</vt:lpwstr>
  </property>
</Properties>
</file>